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0" windowWidth="15228" windowHeight="8028"/>
  </bookViews>
  <sheets>
    <sheet name="Algemeen" sheetId="1" r:id="rId1"/>
    <sheet name="Hemelliggame" sheetId="4" r:id="rId2"/>
    <sheet name="Son-aarde ewewig" sheetId="6" r:id="rId3"/>
    <sheet name="Sonsverduistering" sheetId="7" r:id="rId4"/>
    <sheet name="Waarskynlikhede" sheetId="2" r:id="rId5"/>
    <sheet name="Groottes" sheetId="8" r:id="rId6"/>
  </sheets>
  <calcPr calcId="145621"/>
</workbook>
</file>

<file path=xl/calcChain.xml><?xml version="1.0" encoding="utf-8"?>
<calcChain xmlns="http://schemas.openxmlformats.org/spreadsheetml/2006/main">
  <c r="B73" i="2" l="1"/>
  <c r="D9" i="8"/>
  <c r="D8" i="8"/>
  <c r="D7" i="8"/>
  <c r="D6" i="8"/>
  <c r="B72" i="2"/>
  <c r="B70" i="2"/>
  <c r="B60" i="2"/>
  <c r="B59" i="2"/>
  <c r="B58" i="2"/>
  <c r="B50" i="2"/>
  <c r="B15" i="2" l="1"/>
  <c r="B11" i="2"/>
  <c r="C17" i="2" s="1"/>
  <c r="D25" i="1"/>
  <c r="B25" i="1"/>
  <c r="B7" i="8"/>
  <c r="B98" i="4"/>
  <c r="B100" i="4" s="1"/>
  <c r="B95" i="4"/>
  <c r="B96" i="4" s="1"/>
  <c r="B6" i="8"/>
  <c r="B5" i="8"/>
  <c r="D21" i="4"/>
  <c r="B97" i="4" s="1"/>
  <c r="B24" i="4"/>
  <c r="B23" i="4"/>
  <c r="B22" i="4"/>
  <c r="B52" i="4"/>
  <c r="B53" i="4"/>
  <c r="D25" i="4"/>
  <c r="B25" i="4"/>
  <c r="B41" i="6"/>
  <c r="D41" i="6" s="1"/>
  <c r="B40" i="6"/>
  <c r="B39" i="6"/>
  <c r="B38" i="6"/>
  <c r="D38" i="6" s="1"/>
  <c r="D39" i="6"/>
  <c r="C42" i="6"/>
  <c r="B42" i="6" s="1"/>
  <c r="A43" i="6"/>
  <c r="A44" i="6" s="1"/>
  <c r="A45" i="6" s="1"/>
  <c r="A46" i="6" s="1"/>
  <c r="A47" i="6" s="1"/>
  <c r="A48" i="6" s="1"/>
  <c r="A49" i="6" s="1"/>
  <c r="A50" i="6" s="1"/>
  <c r="D40" i="6"/>
  <c r="A42" i="6"/>
  <c r="B89" i="4"/>
  <c r="D89" i="4" s="1"/>
  <c r="D77" i="4"/>
  <c r="B86" i="4"/>
  <c r="B84" i="4"/>
  <c r="B82" i="4"/>
  <c r="D29" i="4"/>
  <c r="D28" i="4"/>
  <c r="D27" i="4"/>
  <c r="C29" i="6" s="1"/>
  <c r="D74" i="4"/>
  <c r="D73" i="4"/>
  <c r="D75" i="4" s="1"/>
  <c r="D12" i="4"/>
  <c r="D38" i="4" s="1"/>
  <c r="B38" i="4" s="1"/>
  <c r="D55" i="4"/>
  <c r="D63" i="4" s="1"/>
  <c r="B63" i="4" s="1"/>
  <c r="B76" i="4"/>
  <c r="B87" i="4" s="1"/>
  <c r="D72" i="4"/>
  <c r="D78" i="4" s="1"/>
  <c r="B78" i="4" s="1"/>
  <c r="B87" i="2"/>
  <c r="B84" i="2"/>
  <c r="B83" i="2"/>
  <c r="B82" i="2"/>
  <c r="B81" i="2"/>
  <c r="B48" i="2"/>
  <c r="C48" i="2" s="1"/>
  <c r="B47" i="2"/>
  <c r="B49" i="2" s="1"/>
  <c r="C49" i="2" s="1"/>
  <c r="B12" i="2" l="1"/>
  <c r="B17" i="2" s="1"/>
  <c r="B19" i="2" s="1"/>
  <c r="B99" i="4"/>
  <c r="C47" i="2"/>
  <c r="C50" i="2" s="1"/>
  <c r="B52" i="2" s="1"/>
  <c r="B86" i="2"/>
  <c r="D42" i="6"/>
  <c r="C43" i="6"/>
  <c r="B43" i="6" s="1"/>
  <c r="D76" i="4"/>
  <c r="B24" i="7"/>
  <c r="B23" i="7"/>
  <c r="B21" i="7"/>
  <c r="B20" i="7"/>
  <c r="B19" i="7"/>
  <c r="B47" i="7" s="1"/>
  <c r="B10" i="4"/>
  <c r="C11" i="4" s="1"/>
  <c r="B7" i="4"/>
  <c r="B56" i="4"/>
  <c r="B62" i="4" s="1"/>
  <c r="D62" i="4" s="1"/>
  <c r="B51" i="4"/>
  <c r="B61" i="4" s="1"/>
  <c r="D41" i="4"/>
  <c r="B39" i="4"/>
  <c r="B30" i="4"/>
  <c r="B35" i="4"/>
  <c r="B36" i="4"/>
  <c r="B34" i="4"/>
  <c r="B7" i="1"/>
  <c r="B8" i="1" s="1"/>
  <c r="B13" i="1" s="1"/>
  <c r="F27" i="4" s="1"/>
  <c r="H27" i="4" s="1"/>
  <c r="D18" i="1" l="1"/>
  <c r="B8" i="8" s="1"/>
  <c r="D24" i="1"/>
  <c r="B9" i="8" s="1"/>
  <c r="D20" i="1"/>
  <c r="D19" i="1"/>
  <c r="D43" i="6"/>
  <c r="C44" i="6"/>
  <c r="B44" i="6" s="1"/>
  <c r="B37" i="4"/>
  <c r="D37" i="4" s="1"/>
  <c r="C28" i="6" s="1"/>
  <c r="C30" i="6" s="1"/>
  <c r="D30" i="4"/>
  <c r="B49" i="7"/>
  <c r="B48" i="7"/>
  <c r="B42" i="7"/>
  <c r="B29" i="7"/>
  <c r="B30" i="7"/>
  <c r="B36" i="7"/>
  <c r="B28" i="7"/>
  <c r="D44" i="6" l="1"/>
  <c r="C45" i="6"/>
  <c r="B45" i="6" s="1"/>
  <c r="B50" i="7"/>
  <c r="B51" i="7" s="1"/>
  <c r="B53" i="7" s="1"/>
  <c r="B40" i="7"/>
  <c r="B41" i="7" s="1"/>
  <c r="B43" i="7" s="1"/>
  <c r="B33" i="7"/>
  <c r="B34" i="7" s="1"/>
  <c r="D45" i="6" l="1"/>
  <c r="C46" i="6"/>
  <c r="B46" i="6" s="1"/>
  <c r="A52" i="7"/>
  <c r="B35" i="7"/>
  <c r="B37" i="7" s="1"/>
  <c r="C47" i="6" l="1"/>
  <c r="B47" i="6" s="1"/>
  <c r="D46" i="6"/>
  <c r="C48" i="6" l="1"/>
  <c r="B48" i="6" s="1"/>
  <c r="D47" i="6"/>
  <c r="C49" i="6" l="1"/>
  <c r="B49" i="6" s="1"/>
  <c r="D48" i="6"/>
  <c r="D49" i="6" l="1"/>
  <c r="C50" i="6"/>
  <c r="B50" i="6" l="1"/>
  <c r="D50" i="6" s="1"/>
</calcChain>
</file>

<file path=xl/comments1.xml><?xml version="1.0" encoding="utf-8"?>
<comments xmlns="http://schemas.openxmlformats.org/spreadsheetml/2006/main">
  <authors>
    <author>Daniel Louw</author>
  </authors>
  <commentList>
    <comment ref="B24" authorId="0">
      <text>
        <r>
          <rPr>
            <b/>
            <sz val="9"/>
            <color indexed="81"/>
            <rFont val="Tahoma"/>
            <family val="2"/>
          </rPr>
          <t>Daniel Louw:</t>
        </r>
        <r>
          <rPr>
            <sz val="9"/>
            <color indexed="81"/>
            <rFont val="Tahoma"/>
            <family val="2"/>
          </rPr>
          <t xml:space="preserve">
1. Dit is welbekend dat die verste wat ons kan sien (met die beste teleskope) omtrent 14 miljard ligjaar is.
2. Wikipedia beweer dat die waarneembare heelal 'n radius van ongeveer 46 miljard ligjaar het.
Hoe versoen 'n mens hierdie twee stellings?
Hulle neem aan dit wat ons nou op omtrent 14 miljard ligjaar sien, in dieselfde 14 miljard ligjaar nog 32 miljard ligjaar verder getrek het (14 + 32 = 46). Met ander woorde hulle aanvaar die uitbreiding van die heelal is al die tyd besig om te versnel. In werklikheid weet ons nie of die heelal nou nog uitbrei nie. Op die beste lei ons af dat die heelal 14 miljard jaar gelede (in tyd soos daar gemeet, nie in aardse tyd nie) nog aan die uitbrei was – vandaar die rooiskuif van die verste hemelvoorwerpe. 
Maar op hierdie tydstip mag die heelal besig wees om te krimp, vir al wat ons weet. 
Ek werk dus maar met die radius van omtrent 15 miljard ligjaar.</t>
        </r>
      </text>
    </comment>
  </commentList>
</comments>
</file>

<file path=xl/sharedStrings.xml><?xml version="1.0" encoding="utf-8"?>
<sst xmlns="http://schemas.openxmlformats.org/spreadsheetml/2006/main" count="395" uniqueCount="241">
  <si>
    <t>km</t>
  </si>
  <si>
    <t>Ure in 'n jaar</t>
  </si>
  <si>
    <t>Ure per dag</t>
  </si>
  <si>
    <t>Dae per jaar</t>
  </si>
  <si>
    <t>Spoed van aarde om son</t>
  </si>
  <si>
    <t>km/h</t>
  </si>
  <si>
    <t>dae/jaar</t>
  </si>
  <si>
    <t>ure/dag</t>
  </si>
  <si>
    <t>Spoed van lig</t>
  </si>
  <si>
    <t>Een ligjaar</t>
  </si>
  <si>
    <t>http://en.wikipedia.org/wiki/Light-year</t>
  </si>
  <si>
    <t>Sekondes in 'n jaar</t>
  </si>
  <si>
    <t>sekondes/jaar</t>
  </si>
  <si>
    <t>m</t>
  </si>
  <si>
    <t>Heelal:</t>
  </si>
  <si>
    <t>Melkweg sterrestelsel:</t>
  </si>
  <si>
    <t>Algemeen</t>
  </si>
  <si>
    <t>m/s</t>
  </si>
  <si>
    <t>Heelal en Aarde berekeninge</t>
  </si>
  <si>
    <t>http://www.windows.ucar.edu/tour/link=/earth/statistics.html</t>
  </si>
  <si>
    <t>http://wiki.answers.com/Q/What_is_the_distance_from_the_sun_to_the_Earth</t>
  </si>
  <si>
    <t>http://en.wikipedia.org/wiki/Universe</t>
  </si>
  <si>
    <t>ligjaar</t>
  </si>
  <si>
    <t>http://en.wikipedia.org/wiki/Milky_Way</t>
  </si>
  <si>
    <t>Son se afstand van middel</t>
  </si>
  <si>
    <t>kg</t>
  </si>
  <si>
    <t>Massa</t>
  </si>
  <si>
    <t>Ligspoed en ligjaar</t>
  </si>
  <si>
    <t>dae</t>
  </si>
  <si>
    <t>ure/jaar</t>
  </si>
  <si>
    <t>http://en.wikipedia.org/wiki/Moon</t>
  </si>
  <si>
    <t>Diameter van melkweg sterrestelsel (min)</t>
  </si>
  <si>
    <t>m/ligjaar</t>
  </si>
  <si>
    <t>http://creation.com/our-galaxy-is-the-centre-of-the-universe-quantized-redshifts-show</t>
  </si>
  <si>
    <t>Volume van heelal</t>
  </si>
  <si>
    <t>Volume van aarde se spesiale plek</t>
  </si>
  <si>
    <t>Oppervlak van veerpylbord</t>
  </si>
  <si>
    <t>Volume (indien dit 'n sfeer was)</t>
  </si>
  <si>
    <t>Radius</t>
  </si>
  <si>
    <t>Radius van heelal</t>
  </si>
  <si>
    <t>Radius van aarde se spesiale plek</t>
  </si>
  <si>
    <t>Waarskynlikheid van aarde se spesiale posisie</t>
  </si>
  <si>
    <t>mm</t>
  </si>
  <si>
    <t>mm2</t>
  </si>
  <si>
    <t>mm3</t>
  </si>
  <si>
    <t>Radius van rooi kolletjie</t>
  </si>
  <si>
    <t>Oppervlak van rooi kolletjie</t>
  </si>
  <si>
    <t>Volume van rooi kolletjie</t>
  </si>
  <si>
    <t>Waarskynlikheid van rooi kolletjie (oppervlak)</t>
  </si>
  <si>
    <t>Waarskynlikheid van rooi kolletjie (volume)</t>
  </si>
  <si>
    <t>Diameter</t>
  </si>
  <si>
    <t>Omtrek</t>
  </si>
  <si>
    <t>Afstand van aarde</t>
  </si>
  <si>
    <t>Lengte van wentelbaan om die aarde</t>
  </si>
  <si>
    <t>Digtheid</t>
  </si>
  <si>
    <r>
      <t>kg/m</t>
    </r>
    <r>
      <rPr>
        <vertAlign val="superscript"/>
        <sz val="10"/>
        <rFont val="Arial"/>
        <family val="2"/>
      </rPr>
      <t>3</t>
    </r>
    <r>
      <rPr>
        <sz val="10"/>
        <rFont val="Arial"/>
        <family val="2"/>
      </rPr>
      <t xml:space="preserve"> </t>
    </r>
  </si>
  <si>
    <t>Oppervlak gravitasie krag</t>
  </si>
  <si>
    <r>
      <t>m/s</t>
    </r>
    <r>
      <rPr>
        <vertAlign val="superscript"/>
        <sz val="10"/>
        <rFont val="Arial"/>
        <family val="2"/>
      </rPr>
      <t>2</t>
    </r>
    <r>
      <rPr>
        <sz val="10"/>
        <rFont val="Arial"/>
        <family val="2"/>
      </rPr>
      <t xml:space="preserve"> </t>
    </r>
  </si>
  <si>
    <t>Rotasie periode om eie as</t>
  </si>
  <si>
    <t>Rotasie periode om die aarde</t>
  </si>
  <si>
    <t>Rotasiespoed van maan by sy ewenaar</t>
  </si>
  <si>
    <t>Spoed van maan om die aarde</t>
  </si>
  <si>
    <t>Hoek van as</t>
  </si>
  <si>
    <t>°</t>
  </si>
  <si>
    <t>Temperature (Maks, Min)</t>
  </si>
  <si>
    <t>°C</t>
  </si>
  <si>
    <t>Rotasie periode in terme van die son (Lengte van dag) (om eie as)</t>
  </si>
  <si>
    <t>uur</t>
  </si>
  <si>
    <t>Rotasie periode in terme van die sterre (Sidereal Day):</t>
  </si>
  <si>
    <t>(23 uur 56 min)</t>
  </si>
  <si>
    <t>Rotasie periode om die son (Lengte van 'n jaar):</t>
  </si>
  <si>
    <t>Rotasiespoed van aarde by die ewenaar</t>
  </si>
  <si>
    <t>Spoed van aarde om die son</t>
  </si>
  <si>
    <t>23° 27"</t>
  </si>
  <si>
    <t>Gemiddelde oppervlak temperatuur</t>
  </si>
  <si>
    <t>K</t>
  </si>
  <si>
    <t>Oppervlak druk</t>
  </si>
  <si>
    <t>kPa</t>
  </si>
  <si>
    <t>Samestelling van atmosfeer</t>
  </si>
  <si>
    <r>
      <t>Stikstof (N</t>
    </r>
    <r>
      <rPr>
        <vertAlign val="subscript"/>
        <sz val="10"/>
        <rFont val="Arial"/>
        <family val="2"/>
      </rPr>
      <t>2</t>
    </r>
    <r>
      <rPr>
        <sz val="10"/>
        <rFont val="Arial"/>
        <family val="2"/>
      </rPr>
      <t>)</t>
    </r>
  </si>
  <si>
    <r>
      <t>Suurstof (O</t>
    </r>
    <r>
      <rPr>
        <vertAlign val="subscript"/>
        <sz val="10"/>
        <rFont val="Arial"/>
        <family val="2"/>
      </rPr>
      <t>2</t>
    </r>
    <r>
      <rPr>
        <sz val="10"/>
        <rFont val="Arial"/>
        <family val="2"/>
      </rPr>
      <t>)</t>
    </r>
  </si>
  <si>
    <t>Ander</t>
  </si>
  <si>
    <t>Die hoeveelheid maniere om r items te kies uit 'n stel van n items is:</t>
  </si>
  <si>
    <t>The number of ways of picking 2 items from a set of 5 items is by this formula:</t>
  </si>
  <si>
    <t>Voorbeeld</t>
  </si>
  <si>
    <t>Totale hoeveelheid nommers (n)</t>
  </si>
  <si>
    <t>Hoeveelheid nommers wat gekies word (r)</t>
  </si>
  <si>
    <t>Hoeveelheid verskillende maniere om r nommers van n nommers te kies:</t>
  </si>
  <si>
    <t>n / n!</t>
  </si>
  <si>
    <t>r / r!</t>
  </si>
  <si>
    <t>(n-r) / (n-r)!</t>
  </si>
  <si>
    <t>(n/r)</t>
  </si>
  <si>
    <t>Dws die kans om te wen met een kaartjie is:</t>
  </si>
  <si>
    <t>kubieke ligjaar</t>
  </si>
  <si>
    <t>Son, aarde en maan in kragbalans</t>
  </si>
  <si>
    <t>http://www.glodiebybel.co.za/component/content/article/75-2010-01-28-ons-is-in-die-middel.html</t>
  </si>
  <si>
    <t>Waarskynlikheid van aarde se posisie in heelal</t>
  </si>
  <si>
    <t>F = ma</t>
  </si>
  <si>
    <t>Afstand tussen son en aarde</t>
  </si>
  <si>
    <t>G</t>
  </si>
  <si>
    <r>
      <t>M</t>
    </r>
    <r>
      <rPr>
        <vertAlign val="subscript"/>
        <sz val="10"/>
        <rFont val="Arial"/>
        <family val="2"/>
      </rPr>
      <t>s</t>
    </r>
    <r>
      <rPr>
        <sz val="10"/>
        <rFont val="Arial"/>
        <family val="2"/>
      </rPr>
      <t xml:space="preserve"> </t>
    </r>
  </si>
  <si>
    <r>
      <t>m</t>
    </r>
    <r>
      <rPr>
        <vertAlign val="subscript"/>
        <sz val="10"/>
        <rFont val="Arial"/>
        <family val="2"/>
      </rPr>
      <t>a</t>
    </r>
    <r>
      <rPr>
        <sz val="10"/>
        <rFont val="Arial"/>
        <family val="2"/>
      </rPr>
      <t xml:space="preserve"> </t>
    </r>
  </si>
  <si>
    <r>
      <t>a = v</t>
    </r>
    <r>
      <rPr>
        <vertAlign val="superscript"/>
        <sz val="10"/>
        <rFont val="Arial"/>
        <family val="2"/>
      </rPr>
      <t>2</t>
    </r>
    <r>
      <rPr>
        <sz val="10"/>
        <rFont val="Arial"/>
        <family val="2"/>
      </rPr>
      <t>/r</t>
    </r>
  </si>
  <si>
    <r>
      <t>F</t>
    </r>
    <r>
      <rPr>
        <vertAlign val="subscript"/>
        <sz val="10"/>
        <rFont val="Arial"/>
        <family val="2"/>
      </rPr>
      <t>G</t>
    </r>
    <r>
      <rPr>
        <sz val="10"/>
        <rFont val="Arial"/>
        <family val="2"/>
      </rPr>
      <t xml:space="preserve"> = F</t>
    </r>
  </si>
  <si>
    <r>
      <t>Gm</t>
    </r>
    <r>
      <rPr>
        <vertAlign val="subscript"/>
        <sz val="10"/>
        <rFont val="Arial"/>
        <family val="2"/>
      </rPr>
      <t>a</t>
    </r>
    <r>
      <rPr>
        <sz val="10"/>
        <rFont val="Arial"/>
        <family val="2"/>
      </rPr>
      <t>M</t>
    </r>
    <r>
      <rPr>
        <vertAlign val="subscript"/>
        <sz val="10"/>
        <rFont val="Arial"/>
        <family val="2"/>
      </rPr>
      <t>s</t>
    </r>
    <r>
      <rPr>
        <sz val="10"/>
        <rFont val="Arial"/>
        <family val="2"/>
      </rPr>
      <t>/r</t>
    </r>
    <r>
      <rPr>
        <vertAlign val="superscript"/>
        <sz val="10"/>
        <rFont val="Arial"/>
        <family val="2"/>
      </rPr>
      <t>2</t>
    </r>
    <r>
      <rPr>
        <sz val="10"/>
        <rFont val="Arial"/>
        <family val="2"/>
      </rPr>
      <t xml:space="preserve"> = ma</t>
    </r>
  </si>
  <si>
    <r>
      <t>Gm</t>
    </r>
    <r>
      <rPr>
        <vertAlign val="subscript"/>
        <sz val="10"/>
        <rFont val="Arial"/>
        <family val="2"/>
      </rPr>
      <t>a</t>
    </r>
    <r>
      <rPr>
        <sz val="10"/>
        <rFont val="Arial"/>
        <family val="2"/>
      </rPr>
      <t>M</t>
    </r>
    <r>
      <rPr>
        <vertAlign val="subscript"/>
        <sz val="10"/>
        <rFont val="Arial"/>
        <family val="2"/>
      </rPr>
      <t>s</t>
    </r>
    <r>
      <rPr>
        <sz val="10"/>
        <rFont val="Arial"/>
        <family val="2"/>
      </rPr>
      <t>/r</t>
    </r>
    <r>
      <rPr>
        <vertAlign val="superscript"/>
        <sz val="10"/>
        <rFont val="Arial"/>
        <family val="2"/>
      </rPr>
      <t>2</t>
    </r>
    <r>
      <rPr>
        <sz val="10"/>
        <rFont val="Arial"/>
        <family val="2"/>
      </rPr>
      <t xml:space="preserve"> = m</t>
    </r>
    <r>
      <rPr>
        <vertAlign val="subscript"/>
        <sz val="10"/>
        <rFont val="Arial"/>
        <family val="2"/>
      </rPr>
      <t>a</t>
    </r>
    <r>
      <rPr>
        <sz val="10"/>
        <rFont val="Arial"/>
        <family val="2"/>
      </rPr>
      <t>v</t>
    </r>
    <r>
      <rPr>
        <vertAlign val="superscript"/>
        <sz val="10"/>
        <rFont val="Arial"/>
        <family val="2"/>
      </rPr>
      <t>2</t>
    </r>
    <r>
      <rPr>
        <sz val="10"/>
        <rFont val="Arial"/>
        <family val="2"/>
      </rPr>
      <t>/r</t>
    </r>
  </si>
  <si>
    <r>
      <t>F</t>
    </r>
    <r>
      <rPr>
        <vertAlign val="subscript"/>
        <sz val="10"/>
        <rFont val="Arial"/>
        <family val="2"/>
      </rPr>
      <t>G</t>
    </r>
    <r>
      <rPr>
        <sz val="10"/>
        <rFont val="Arial"/>
        <family val="2"/>
      </rPr>
      <t xml:space="preserve"> = Gm</t>
    </r>
    <r>
      <rPr>
        <vertAlign val="subscript"/>
        <sz val="10"/>
        <rFont val="Arial"/>
        <family val="2"/>
      </rPr>
      <t>a</t>
    </r>
    <r>
      <rPr>
        <sz val="10"/>
        <rFont val="Arial"/>
        <family val="2"/>
      </rPr>
      <t>M</t>
    </r>
    <r>
      <rPr>
        <vertAlign val="subscript"/>
        <sz val="10"/>
        <rFont val="Arial"/>
        <family val="2"/>
      </rPr>
      <t>s</t>
    </r>
    <r>
      <rPr>
        <sz val="10"/>
        <rFont val="Arial"/>
        <family val="2"/>
      </rPr>
      <t>/r</t>
    </r>
    <r>
      <rPr>
        <vertAlign val="superscript"/>
        <sz val="10"/>
        <rFont val="Arial"/>
        <family val="2"/>
      </rPr>
      <t>2</t>
    </r>
    <r>
      <rPr>
        <sz val="10"/>
        <rFont val="Arial"/>
        <family val="2"/>
      </rPr>
      <t xml:space="preserve"> </t>
    </r>
  </si>
  <si>
    <r>
      <t>M</t>
    </r>
    <r>
      <rPr>
        <vertAlign val="subscript"/>
        <sz val="10"/>
        <rFont val="Arial"/>
        <family val="2"/>
      </rPr>
      <t>s</t>
    </r>
    <r>
      <rPr>
        <sz val="10"/>
        <rFont val="Arial"/>
        <family val="2"/>
      </rPr>
      <t xml:space="preserve"> = v</t>
    </r>
    <r>
      <rPr>
        <vertAlign val="superscript"/>
        <sz val="10"/>
        <rFont val="Arial"/>
        <family val="2"/>
      </rPr>
      <t>2</t>
    </r>
    <r>
      <rPr>
        <sz val="10"/>
        <rFont val="Arial"/>
        <family val="2"/>
      </rPr>
      <t>r/G</t>
    </r>
  </si>
  <si>
    <r>
      <t>M</t>
    </r>
    <r>
      <rPr>
        <vertAlign val="subscript"/>
        <sz val="10"/>
        <rFont val="Arial"/>
        <family val="2"/>
      </rPr>
      <t>s</t>
    </r>
    <r>
      <rPr>
        <sz val="10"/>
        <rFont val="Arial"/>
        <family val="2"/>
      </rPr>
      <t xml:space="preserve"> =</t>
    </r>
  </si>
  <si>
    <t>v</t>
  </si>
  <si>
    <t>r</t>
  </si>
  <si>
    <t>Massa van son</t>
  </si>
  <si>
    <r>
      <t>GM</t>
    </r>
    <r>
      <rPr>
        <b/>
        <vertAlign val="subscript"/>
        <sz val="10"/>
        <rFont val="Arial"/>
        <family val="2"/>
      </rPr>
      <t>s</t>
    </r>
    <r>
      <rPr>
        <b/>
        <sz val="10"/>
        <rFont val="Arial"/>
        <family val="2"/>
      </rPr>
      <t xml:space="preserve"> = v</t>
    </r>
    <r>
      <rPr>
        <b/>
        <vertAlign val="superscript"/>
        <sz val="10"/>
        <rFont val="Arial"/>
        <family val="2"/>
      </rPr>
      <t>2</t>
    </r>
    <r>
      <rPr>
        <b/>
        <sz val="10"/>
        <rFont val="Arial"/>
        <family val="2"/>
      </rPr>
      <t>r</t>
    </r>
  </si>
  <si>
    <t>Son se gewig</t>
  </si>
  <si>
    <t>Volume</t>
  </si>
  <si>
    <r>
      <t>m</t>
    </r>
    <r>
      <rPr>
        <vertAlign val="superscript"/>
        <sz val="10"/>
        <rFont val="Arial"/>
        <family val="2"/>
      </rPr>
      <t>3</t>
    </r>
    <r>
      <rPr>
        <sz val="10"/>
        <rFont val="Arial"/>
        <family val="2"/>
      </rPr>
      <t xml:space="preserve"> </t>
    </r>
  </si>
  <si>
    <t>keer die massa van aarde</t>
  </si>
  <si>
    <t>Rotasieperiode by ewenaar</t>
  </si>
  <si>
    <t>aarde-dae</t>
  </si>
  <si>
    <t>http://www.windows2universe.org/sun/statistics.html</t>
  </si>
  <si>
    <t>Temperatuur by kern</t>
  </si>
  <si>
    <t>Oppervlak temperatuur</t>
  </si>
  <si>
    <t>Rotasieperiode by pole</t>
  </si>
  <si>
    <t>Diameters:</t>
  </si>
  <si>
    <t>Son</t>
  </si>
  <si>
    <t>Aarde</t>
  </si>
  <si>
    <t>Maan</t>
  </si>
  <si>
    <t>Son na Aarde</t>
  </si>
  <si>
    <t>Aarde na Maan</t>
  </si>
  <si>
    <t>BS</t>
  </si>
  <si>
    <t>TS</t>
  </si>
  <si>
    <t>Middel van son tot aarde se oppervlak</t>
  </si>
  <si>
    <t>Son se radius</t>
  </si>
  <si>
    <t>grade</t>
  </si>
  <si>
    <t>MS</t>
  </si>
  <si>
    <t>Bereken hoe ver punt B van die aarde se oppervlak is:</t>
  </si>
  <si>
    <t>MN</t>
  </si>
  <si>
    <t>n</t>
  </si>
  <si>
    <t>Radius van maan</t>
  </si>
  <si>
    <t>Middel van son tot middel van maan</t>
  </si>
  <si>
    <t>CS</t>
  </si>
  <si>
    <t>Afstande (middelpunt tot middelpunt):</t>
  </si>
  <si>
    <t>radiale</t>
  </si>
  <si>
    <t>Punt B vanaf aarde se oppervlak</t>
  </si>
  <si>
    <t>(Positief is bo die aarde se oppervlak)</t>
  </si>
  <si>
    <t>SU</t>
  </si>
  <si>
    <t>Hoek TCS = Hoek UMS</t>
  </si>
  <si>
    <t>sin TCS = (TS-MN)/MS = TS/CS</t>
  </si>
  <si>
    <t>sin UMS = (TS-MN)/MS = TS/CS</t>
  </si>
  <si>
    <t>Metode 1:</t>
  </si>
  <si>
    <t>Metode 2:</t>
  </si>
  <si>
    <t>Aannames:</t>
  </si>
  <si>
    <t>BM</t>
  </si>
  <si>
    <t>Afstand van maan tot aarde se oppervlak</t>
  </si>
  <si>
    <r>
      <t>MN</t>
    </r>
    <r>
      <rPr>
        <vertAlign val="subscript"/>
        <sz val="10"/>
        <rFont val="Arial"/>
        <family val="2"/>
      </rPr>
      <t>1</t>
    </r>
    <r>
      <rPr>
        <sz val="10"/>
        <rFont val="Arial"/>
        <family val="2"/>
      </rPr>
      <t>/BM = TS/BS (Driehoeke TBS en N</t>
    </r>
    <r>
      <rPr>
        <vertAlign val="subscript"/>
        <sz val="10"/>
        <rFont val="Arial"/>
        <family val="2"/>
      </rPr>
      <t>1</t>
    </r>
    <r>
      <rPr>
        <sz val="10"/>
        <rFont val="Arial"/>
        <family val="2"/>
      </rPr>
      <t>BM)</t>
    </r>
  </si>
  <si>
    <r>
      <t>MN</t>
    </r>
    <r>
      <rPr>
        <vertAlign val="subscript"/>
        <sz val="10"/>
        <rFont val="Arial"/>
        <family val="2"/>
      </rPr>
      <t>1</t>
    </r>
    <r>
      <rPr>
        <sz val="10"/>
        <rFont val="Arial"/>
        <family val="2"/>
      </rPr>
      <t xml:space="preserve"> </t>
    </r>
  </si>
  <si>
    <t>Hoeveelheid verbysteek</t>
  </si>
  <si>
    <t>Bereken hoeveel die son aan weerskante van die maan verbysteek:</t>
  </si>
  <si>
    <t>CS/TS = MS/SU (Driehoeke TCS en UMS)</t>
  </si>
  <si>
    <t>Waarskynlikheid om die lotery te wen met slegs een kaartjie</t>
  </si>
  <si>
    <t>Sonsverduisteringsberekeninge</t>
  </si>
  <si>
    <t>Kyk “Our galaxy is the centre of the universe, ‘quantized’ redshifts show”</t>
  </si>
  <si>
    <t>% verbysteek</t>
  </si>
  <si>
    <t>Verbysteek/Maan se diameter</t>
  </si>
  <si>
    <r>
      <t>Nm</t>
    </r>
    <r>
      <rPr>
        <vertAlign val="superscript"/>
        <sz val="10"/>
        <rFont val="Arial"/>
        <family val="2"/>
      </rPr>
      <t>2</t>
    </r>
    <r>
      <rPr>
        <sz val="10"/>
        <rFont val="Arial"/>
        <family val="2"/>
      </rPr>
      <t>/kg</t>
    </r>
    <r>
      <rPr>
        <vertAlign val="superscript"/>
        <sz val="10"/>
        <rFont val="Arial"/>
        <family val="2"/>
      </rPr>
      <t>2</t>
    </r>
    <r>
      <rPr>
        <sz val="10"/>
        <rFont val="Arial"/>
        <family val="2"/>
      </rPr>
      <t xml:space="preserve"> </t>
    </r>
  </si>
  <si>
    <r>
      <t>a = versnelling tussen aarde en son [m/s</t>
    </r>
    <r>
      <rPr>
        <vertAlign val="superscript"/>
        <sz val="10"/>
        <rFont val="Arial"/>
        <family val="2"/>
      </rPr>
      <t>2</t>
    </r>
    <r>
      <rPr>
        <sz val="10"/>
        <rFont val="Arial"/>
        <family val="2"/>
      </rPr>
      <t>], v = spoed van aarde om son [m/s], r = afstand tussen aarde en son [m]</t>
    </r>
  </si>
  <si>
    <t>Aarde se massa [kg]</t>
  </si>
  <si>
    <t>Son se massa [kg]</t>
  </si>
  <si>
    <t>Afstand tussen son en aarde [m]</t>
  </si>
  <si>
    <t>R of r</t>
  </si>
  <si>
    <t>Dus is die spoed van 'n planeet om sy son nie 'n funksie van die planeet se massa nie, maar slegs 'n funksie van sy son te massa.</t>
  </si>
  <si>
    <t>Berekening van die son se massa</t>
  </si>
  <si>
    <t>Die maan se grootte is net groot genoeg om die son net-net toe te maak tydens 'n sonsverduistering. Hierdie feit stel die mens in staat om tydens sonsverduisterings baie van die heelal te leer.
Hierdie berekening bepaal hoeveel die son verby die maan steek tydens 'n sonsverduistering bevestig of dit korrek is (dit verg egter nogal 'n bietjie trigonometrie :-) ).</t>
  </si>
  <si>
    <t>Universele gravitasiekonstante</t>
  </si>
  <si>
    <t>'n Paar waarskynlikhede</t>
  </si>
  <si>
    <t>Waarskynlikheid om die rooi kol van 'n veerpyltjiebord ewekansig te tref</t>
  </si>
  <si>
    <t>Mercurius</t>
  </si>
  <si>
    <t>Aarde se maan</t>
  </si>
  <si>
    <t>http://en.wikipedia.org/wiki/Mercury_(planet)</t>
  </si>
  <si>
    <t>Afstand van son (Gemiddeld)</t>
  </si>
  <si>
    <t>http://www.glodiebybel.co.za/component/content/article/676-ons-unieke-planeet-aarde.html</t>
  </si>
  <si>
    <t xml:space="preserve"> - Perihelion (naaste)</t>
  </si>
  <si>
    <t xml:space="preserve"> - Aphelion (verste)</t>
  </si>
  <si>
    <t>Lengte van wentelbaan om die son (bereken)</t>
  </si>
  <si>
    <r>
      <t>Spoed van maan om die aarde (Bereken: M = v</t>
    </r>
    <r>
      <rPr>
        <vertAlign val="superscript"/>
        <sz val="10"/>
        <rFont val="Arial"/>
        <family val="2"/>
      </rPr>
      <t>2</t>
    </r>
    <r>
      <rPr>
        <sz val="10"/>
        <rFont val="Arial"/>
        <family val="2"/>
      </rPr>
      <t>r/G)</t>
    </r>
  </si>
  <si>
    <r>
      <t>Spoed van Mercurius om die son (Bereken: M = v</t>
    </r>
    <r>
      <rPr>
        <vertAlign val="superscript"/>
        <sz val="10"/>
        <rFont val="Arial"/>
        <family val="2"/>
      </rPr>
      <t>2</t>
    </r>
    <r>
      <rPr>
        <sz val="10"/>
        <rFont val="Arial"/>
        <family val="2"/>
      </rPr>
      <t>r/G)</t>
    </r>
  </si>
  <si>
    <r>
      <t>Spoed van aarde om die son (Bereken: M = v</t>
    </r>
    <r>
      <rPr>
        <vertAlign val="superscript"/>
        <sz val="10"/>
        <rFont val="Arial"/>
        <family val="2"/>
      </rPr>
      <t>2</t>
    </r>
    <r>
      <rPr>
        <sz val="10"/>
        <rFont val="Arial"/>
        <family val="2"/>
      </rPr>
      <t>r/G)</t>
    </r>
  </si>
  <si>
    <t>Ewenaarsradius</t>
  </si>
  <si>
    <t>Ewenaarsomtrek</t>
  </si>
  <si>
    <t>Ewenaarsomtrek (bereken)</t>
  </si>
  <si>
    <t>km3</t>
  </si>
  <si>
    <t>Volume (bereken met ewenaarsradius)</t>
  </si>
  <si>
    <t>Oppervlak</t>
  </si>
  <si>
    <t>km2</t>
  </si>
  <si>
    <t>Oppervlak (bereken met ewenaarsradius)</t>
  </si>
  <si>
    <t>Lengte van 'n jaar</t>
  </si>
  <si>
    <t>Omtrek van wentelbaan om die son</t>
  </si>
  <si>
    <t>Omtrek van wentelbaan om die son (bereken)</t>
  </si>
  <si>
    <t>1ste planeet van son</t>
  </si>
  <si>
    <t>Spoed van Mercurius om die son</t>
  </si>
  <si>
    <t>aardedae</t>
  </si>
  <si>
    <t>Afstand van 43 boogsekondes by perihelion</t>
  </si>
  <si>
    <t>Aardediameters</t>
  </si>
  <si>
    <t>Vir konstante massa:</t>
  </si>
  <si>
    <t>M</t>
  </si>
  <si>
    <t>r (m)</t>
  </si>
  <si>
    <t>v (m/s)</t>
  </si>
  <si>
    <t>r (ligjaar)</t>
  </si>
  <si>
    <t>Inligting oor planete en sterre</t>
  </si>
  <si>
    <t>Spoed op oppervlak by ewenaar</t>
  </si>
  <si>
    <t>ligminute</t>
  </si>
  <si>
    <t>Afstand van aarde na son (Gemiddeld)</t>
  </si>
  <si>
    <t>Afstand van aarde na maan</t>
  </si>
  <si>
    <t>Diameter (Gemiddeld))</t>
  </si>
  <si>
    <t>Hoe groot is ons?</t>
  </si>
  <si>
    <t>Heelal</t>
  </si>
  <si>
    <t>Melkweg</t>
  </si>
  <si>
    <t>Antares (helderste ster in melkweg)</t>
  </si>
  <si>
    <t>http://en.wikipedia.org/wiki/Antares</t>
  </si>
  <si>
    <t>Antares</t>
  </si>
  <si>
    <t xml:space="preserve"> - Groter as die son</t>
  </si>
  <si>
    <t xml:space="preserve"> - Groter as die aarde</t>
  </si>
  <si>
    <t xml:space="preserve"> - Swaarder as die son</t>
  </si>
  <si>
    <t xml:space="preserve"> - Swaarder as die aarde</t>
  </si>
  <si>
    <t>Diameter van die waarneembare heelal</t>
  </si>
  <si>
    <t>Geskatte diameter van heelal as aanvaar word dat dit nog uitbrei</t>
  </si>
  <si>
    <t>https://af.wikipedia.org/wiki/Kombinasie</t>
  </si>
  <si>
    <t>Waarskynlikheid om lotery twee keer na mekaar te wen</t>
  </si>
  <si>
    <t>Waarskynlikheid om dit die eerste keer te wen</t>
  </si>
  <si>
    <t>Waarskynlikheid om dit die tweede keer te wen</t>
  </si>
  <si>
    <t>Waarskynlikheid om dit beide keer te wen</t>
  </si>
  <si>
    <t>Waarskynlikheid om lotery twee keer uit drie kanse te wen</t>
  </si>
  <si>
    <t>Daar is 3 kombinasies:</t>
  </si>
  <si>
    <t>1.) 1 1 0</t>
  </si>
  <si>
    <t>2.) 1 0 1</t>
  </si>
  <si>
    <t>3.) 0 1 1</t>
  </si>
  <si>
    <t>Of =combin(3,2)</t>
  </si>
  <si>
    <t>Waarskynlikheid van die eerste kombinasie (en tweede en derde)</t>
  </si>
  <si>
    <t>Dus, is die waarskynlikheid</t>
  </si>
  <si>
    <t>Relatiewe groottes:</t>
  </si>
  <si>
    <t>Relatief teenoor die waarskynlikheid om die boerpot te wen: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</si>
</sst>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E+00"/>
    <numFmt numFmtId="165" formatCode="0.00.E+00"/>
    <numFmt numFmtId="166" formatCode="0.000"/>
    <numFmt numFmtId="167" formatCode="0.0"/>
    <numFmt numFmtId="168" formatCode="0.000E+00"/>
    <numFmt numFmtId="169" formatCode="0.0000"/>
    <numFmt numFmtId="170" formatCode="0.0000E+00"/>
  </numFmts>
  <fonts count="18" x14ac:knownFonts="1">
    <font>
      <sz val="10"/>
      <name val="Arial"/>
    </font>
    <font>
      <sz val="10"/>
      <name val="Arial"/>
      <family val="2"/>
    </font>
    <font>
      <b/>
      <sz val="10"/>
      <name val="Arial"/>
      <family val="2"/>
    </font>
    <font>
      <sz val="8"/>
      <name val="Arial"/>
      <family val="2"/>
    </font>
    <font>
      <sz val="10"/>
      <name val="Arial"/>
      <family val="2"/>
    </font>
    <font>
      <b/>
      <sz val="11"/>
      <name val="Arial"/>
      <family val="2"/>
    </font>
    <font>
      <b/>
      <sz val="14"/>
      <name val="Arial"/>
      <family val="2"/>
    </font>
    <font>
      <b/>
      <sz val="12"/>
      <name val="Arial"/>
      <family val="2"/>
    </font>
    <font>
      <vertAlign val="superscript"/>
      <sz val="10"/>
      <name val="Arial"/>
      <family val="2"/>
    </font>
    <font>
      <vertAlign val="subscript"/>
      <sz val="10"/>
      <name val="Arial"/>
      <family val="2"/>
    </font>
    <font>
      <b/>
      <vertAlign val="subscript"/>
      <sz val="10"/>
      <name val="Arial"/>
      <family val="2"/>
    </font>
    <font>
      <b/>
      <vertAlign val="superscript"/>
      <sz val="10"/>
      <name val="Arial"/>
      <family val="2"/>
    </font>
    <font>
      <u/>
      <sz val="10"/>
      <color theme="10"/>
      <name val="Arial"/>
      <family val="2"/>
    </font>
    <font>
      <sz val="10"/>
      <color rgb="FFFF0000"/>
      <name val="Arial"/>
      <family val="2"/>
    </font>
    <font>
      <sz val="9"/>
      <color indexed="81"/>
      <name val="Tahoma"/>
      <family val="2"/>
    </font>
    <font>
      <b/>
      <sz val="9"/>
      <color indexed="81"/>
      <name val="Tahoma"/>
      <family val="2"/>
    </font>
    <font>
      <b/>
      <sz val="16"/>
      <name val="Arial"/>
      <family val="2"/>
    </font>
    <font>
      <sz val="11"/>
      <name val="Arial"/>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2" fillId="0" borderId="0" applyNumberFormat="0" applyFill="0" applyBorder="0" applyAlignment="0" applyProtection="0">
      <alignment vertical="top"/>
      <protection locked="0"/>
    </xf>
    <xf numFmtId="9" fontId="1" fillId="0" borderId="0" applyFont="0" applyFill="0" applyBorder="0" applyAlignment="0" applyProtection="0"/>
  </cellStyleXfs>
  <cellXfs count="53">
    <xf numFmtId="0" fontId="0" fillId="0" borderId="0" xfId="0"/>
    <xf numFmtId="3" fontId="0" fillId="0" borderId="0" xfId="0" applyNumberFormat="1"/>
    <xf numFmtId="4" fontId="0" fillId="0" borderId="0" xfId="0" applyNumberFormat="1"/>
    <xf numFmtId="0" fontId="2" fillId="0" borderId="0" xfId="0" applyFont="1"/>
    <xf numFmtId="164" fontId="0" fillId="0" borderId="0" xfId="0" applyNumberFormat="1"/>
    <xf numFmtId="165" fontId="0" fillId="0" borderId="0" xfId="0" applyNumberFormat="1"/>
    <xf numFmtId="0" fontId="4" fillId="0" borderId="0" xfId="0" applyFont="1"/>
    <xf numFmtId="0" fontId="12" fillId="0" borderId="0" xfId="1" applyAlignment="1" applyProtection="1"/>
    <xf numFmtId="3" fontId="4" fillId="0" borderId="0" xfId="0" applyNumberFormat="1" applyFont="1"/>
    <xf numFmtId="165" fontId="0" fillId="2" borderId="0" xfId="0" applyNumberFormat="1" applyFill="1"/>
    <xf numFmtId="0" fontId="4" fillId="2" borderId="0" xfId="0" applyFont="1" applyFill="1"/>
    <xf numFmtId="0" fontId="12" fillId="2" borderId="0" xfId="1" applyFill="1" applyAlignment="1" applyProtection="1"/>
    <xf numFmtId="2" fontId="0" fillId="0" borderId="0" xfId="0" applyNumberFormat="1"/>
    <xf numFmtId="0" fontId="6" fillId="0" borderId="0" xfId="0" applyFont="1"/>
    <xf numFmtId="0" fontId="5" fillId="2" borderId="0" xfId="0" applyFont="1" applyFill="1"/>
    <xf numFmtId="0" fontId="0" fillId="0" borderId="0" xfId="0" applyNumberFormat="1"/>
    <xf numFmtId="11" fontId="0" fillId="0" borderId="0" xfId="0" applyNumberFormat="1"/>
    <xf numFmtId="166" fontId="0" fillId="0" borderId="0" xfId="0" applyNumberFormat="1"/>
    <xf numFmtId="1" fontId="0" fillId="0" borderId="0" xfId="0" applyNumberFormat="1"/>
    <xf numFmtId="0" fontId="7" fillId="0" borderId="0" xfId="0" applyFont="1"/>
    <xf numFmtId="0" fontId="1" fillId="0" borderId="0" xfId="0" applyFont="1"/>
    <xf numFmtId="168" fontId="0" fillId="0" borderId="0" xfId="0" applyNumberFormat="1"/>
    <xf numFmtId="9" fontId="0" fillId="0" borderId="0" xfId="0" applyNumberFormat="1"/>
    <xf numFmtId="168" fontId="2" fillId="0" borderId="0" xfId="0" applyNumberFormat="1" applyFont="1"/>
    <xf numFmtId="0" fontId="13" fillId="0" borderId="0" xfId="0" applyFont="1"/>
    <xf numFmtId="0" fontId="2" fillId="3" borderId="0" xfId="0" applyFont="1" applyFill="1"/>
    <xf numFmtId="0" fontId="0" fillId="3" borderId="0" xfId="0" applyFill="1"/>
    <xf numFmtId="167" fontId="0" fillId="0" borderId="0" xfId="0" applyNumberFormat="1"/>
    <xf numFmtId="169" fontId="0" fillId="0" borderId="0" xfId="0" applyNumberFormat="1"/>
    <xf numFmtId="0" fontId="5" fillId="3" borderId="0" xfId="0" applyFont="1" applyFill="1"/>
    <xf numFmtId="9" fontId="0" fillId="0" borderId="0" xfId="2" applyFont="1"/>
    <xf numFmtId="0" fontId="16" fillId="0" borderId="0" xfId="0" quotePrefix="1" applyFont="1"/>
    <xf numFmtId="0" fontId="16" fillId="0" borderId="0" xfId="0" applyFont="1"/>
    <xf numFmtId="3" fontId="13" fillId="0" borderId="1" xfId="0" applyNumberFormat="1" applyFont="1" applyBorder="1"/>
    <xf numFmtId="3" fontId="0" fillId="0" borderId="2" xfId="0" applyNumberFormat="1" applyBorder="1"/>
    <xf numFmtId="3" fontId="0" fillId="3" borderId="1" xfId="0" applyNumberFormat="1" applyFill="1" applyBorder="1"/>
    <xf numFmtId="3" fontId="0" fillId="3" borderId="2" xfId="0" applyNumberFormat="1" applyFill="1" applyBorder="1"/>
    <xf numFmtId="3" fontId="0" fillId="0" borderId="1" xfId="0" applyNumberFormat="1" applyBorder="1"/>
    <xf numFmtId="170" fontId="0" fillId="0" borderId="1" xfId="0" applyNumberFormat="1" applyBorder="1"/>
    <xf numFmtId="170" fontId="0" fillId="0" borderId="2" xfId="0" applyNumberFormat="1" applyBorder="1"/>
    <xf numFmtId="0" fontId="2" fillId="0" borderId="0" xfId="0" applyFont="1" applyAlignment="1">
      <alignment horizontal="center"/>
    </xf>
    <xf numFmtId="3" fontId="0" fillId="0" borderId="0" xfId="0" applyNumberFormat="1" applyAlignment="1">
      <alignment horizontal="center"/>
    </xf>
    <xf numFmtId="0" fontId="0" fillId="0" borderId="0" xfId="0" applyAlignment="1">
      <alignment horizontal="center"/>
    </xf>
    <xf numFmtId="0" fontId="0" fillId="4" borderId="0" xfId="0" applyFill="1"/>
    <xf numFmtId="0" fontId="17" fillId="0" borderId="0" xfId="0" applyFont="1"/>
    <xf numFmtId="3" fontId="12" fillId="0" borderId="0" xfId="1" applyNumberFormat="1" applyAlignment="1" applyProtection="1"/>
    <xf numFmtId="11" fontId="1" fillId="0" borderId="0" xfId="0" applyNumberFormat="1" applyFont="1"/>
    <xf numFmtId="0" fontId="4" fillId="0" borderId="0" xfId="0" applyFont="1" applyAlignment="1">
      <alignment wrapText="1"/>
    </xf>
    <xf numFmtId="0" fontId="0" fillId="0" borderId="0" xfId="0" applyAlignment="1">
      <alignment wrapText="1"/>
    </xf>
    <xf numFmtId="3" fontId="2" fillId="0" borderId="0" xfId="0" applyNumberFormat="1" applyFont="1"/>
    <xf numFmtId="11" fontId="2" fillId="5" borderId="0" xfId="0" applyNumberFormat="1" applyFont="1" applyFill="1"/>
    <xf numFmtId="0" fontId="7" fillId="3" borderId="0" xfId="0" applyFont="1" applyFill="1"/>
    <xf numFmtId="0" fontId="2" fillId="0" borderId="0" xfId="0" applyFont="1" applyAlignment="1">
      <alignment horizontal="center"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Z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Spoed</a:t>
            </a:r>
            <a:r>
              <a:rPr lang="en-US" sz="1400" baseline="0"/>
              <a:t> van planeet om sy son as son se massa 1x10</a:t>
            </a:r>
            <a:r>
              <a:rPr lang="en-US" sz="1400" baseline="30000"/>
              <a:t>35</a:t>
            </a:r>
            <a:r>
              <a:rPr lang="en-US" sz="1400" baseline="0"/>
              <a:t> kg </a:t>
            </a:r>
            <a:endParaRPr lang="en-US" sz="1400"/>
          </a:p>
        </c:rich>
      </c:tx>
      <c:overlay val="0"/>
    </c:title>
    <c:autoTitleDeleted val="0"/>
    <c:plotArea>
      <c:layout/>
      <c:scatterChart>
        <c:scatterStyle val="smoothMarker"/>
        <c:varyColors val="0"/>
        <c:ser>
          <c:idx val="0"/>
          <c:order val="0"/>
          <c:tx>
            <c:strRef>
              <c:f>'Son-aarde ewewig'!$D$37</c:f>
              <c:strCache>
                <c:ptCount val="1"/>
                <c:pt idx="0">
                  <c:v>v (m/s)</c:v>
                </c:pt>
              </c:strCache>
            </c:strRef>
          </c:tx>
          <c:marker>
            <c:symbol val="none"/>
          </c:marker>
          <c:xVal>
            <c:numRef>
              <c:f>'Son-aarde ewewig'!$C$40:$C$50</c:f>
              <c:numCache>
                <c:formatCode>General</c:formatCode>
                <c:ptCount val="11"/>
                <c:pt idx="0">
                  <c:v>0.5</c:v>
                </c:pt>
                <c:pt idx="1">
                  <c:v>1</c:v>
                </c:pt>
                <c:pt idx="2">
                  <c:v>2</c:v>
                </c:pt>
                <c:pt idx="3">
                  <c:v>3</c:v>
                </c:pt>
                <c:pt idx="4">
                  <c:v>4</c:v>
                </c:pt>
                <c:pt idx="5">
                  <c:v>5</c:v>
                </c:pt>
                <c:pt idx="6">
                  <c:v>6</c:v>
                </c:pt>
                <c:pt idx="7">
                  <c:v>7</c:v>
                </c:pt>
                <c:pt idx="8">
                  <c:v>8</c:v>
                </c:pt>
                <c:pt idx="9">
                  <c:v>9</c:v>
                </c:pt>
                <c:pt idx="10">
                  <c:v>10</c:v>
                </c:pt>
              </c:numCache>
            </c:numRef>
          </c:xVal>
          <c:yVal>
            <c:numRef>
              <c:f>'Son-aarde ewewig'!$D$40:$D$50</c:f>
              <c:numCache>
                <c:formatCode># ##0</c:formatCode>
                <c:ptCount val="11"/>
                <c:pt idx="0">
                  <c:v>37537.49642864435</c:v>
                </c:pt>
                <c:pt idx="1">
                  <c:v>26543.018273460228</c:v>
                </c:pt>
                <c:pt idx="2">
                  <c:v>18768.748214322175</c:v>
                </c:pt>
                <c:pt idx="3">
                  <c:v>15324.618745287418</c:v>
                </c:pt>
                <c:pt idx="4">
                  <c:v>13271.509136730114</c:v>
                </c:pt>
                <c:pt idx="5">
                  <c:v>11870.398637495235</c:v>
                </c:pt>
                <c:pt idx="6">
                  <c:v>10836.141833891215</c:v>
                </c:pt>
                <c:pt idx="7">
                  <c:v>10032.317913802684</c:v>
                </c:pt>
                <c:pt idx="8">
                  <c:v>9384.3741071610875</c:v>
                </c:pt>
                <c:pt idx="9">
                  <c:v>8847.6727578200753</c:v>
                </c:pt>
                <c:pt idx="10">
                  <c:v>8393.6393719604348</c:v>
                </c:pt>
              </c:numCache>
            </c:numRef>
          </c:yVal>
          <c:smooth val="1"/>
        </c:ser>
        <c:dLbls>
          <c:showLegendKey val="0"/>
          <c:showVal val="0"/>
          <c:showCatName val="0"/>
          <c:showSerName val="0"/>
          <c:showPercent val="0"/>
          <c:showBubbleSize val="0"/>
        </c:dLbls>
        <c:axId val="353581312"/>
        <c:axId val="343609728"/>
      </c:scatterChart>
      <c:valAx>
        <c:axId val="353581312"/>
        <c:scaling>
          <c:orientation val="minMax"/>
        </c:scaling>
        <c:delete val="0"/>
        <c:axPos val="b"/>
        <c:title>
          <c:tx>
            <c:rich>
              <a:bodyPr/>
              <a:lstStyle/>
              <a:p>
                <a:pPr>
                  <a:defRPr/>
                </a:pPr>
                <a:r>
                  <a:rPr lang="en-ZA"/>
                  <a:t>Afstand van planeet na son (ligjaar)</a:t>
                </a:r>
              </a:p>
            </c:rich>
          </c:tx>
          <c:overlay val="0"/>
        </c:title>
        <c:numFmt formatCode="General" sourceLinked="1"/>
        <c:majorTickMark val="out"/>
        <c:minorTickMark val="none"/>
        <c:tickLblPos val="nextTo"/>
        <c:crossAx val="343609728"/>
        <c:crosses val="autoZero"/>
        <c:crossBetween val="midCat"/>
      </c:valAx>
      <c:valAx>
        <c:axId val="343609728"/>
        <c:scaling>
          <c:orientation val="minMax"/>
        </c:scaling>
        <c:delete val="0"/>
        <c:axPos val="l"/>
        <c:majorGridlines/>
        <c:title>
          <c:tx>
            <c:rich>
              <a:bodyPr rot="-5400000" vert="horz"/>
              <a:lstStyle/>
              <a:p>
                <a:pPr>
                  <a:defRPr/>
                </a:pPr>
                <a:r>
                  <a:rPr lang="en-ZA"/>
                  <a:t>Spoed</a:t>
                </a:r>
                <a:r>
                  <a:rPr lang="en-ZA" baseline="0"/>
                  <a:t> (m/s)</a:t>
                </a:r>
                <a:endParaRPr lang="en-ZA"/>
              </a:p>
            </c:rich>
          </c:tx>
          <c:overlay val="0"/>
        </c:title>
        <c:numFmt formatCode="# ##0" sourceLinked="1"/>
        <c:majorTickMark val="out"/>
        <c:minorTickMark val="none"/>
        <c:tickLblPos val="nextTo"/>
        <c:crossAx val="353581312"/>
        <c:crosses val="autoZero"/>
        <c:crossBetween val="midCat"/>
      </c:valAx>
    </c:plotArea>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649435</xdr:colOff>
      <xdr:row>11</xdr:row>
      <xdr:rowOff>107366</xdr:rowOff>
    </xdr:from>
    <xdr:to>
      <xdr:col>2</xdr:col>
      <xdr:colOff>457200</xdr:colOff>
      <xdr:row>17</xdr:row>
      <xdr:rowOff>143004</xdr:rowOff>
    </xdr:to>
    <xdr:grpSp>
      <xdr:nvGrpSpPr>
        <xdr:cNvPr id="16" name="Group 15"/>
        <xdr:cNvGrpSpPr/>
      </xdr:nvGrpSpPr>
      <xdr:grpSpPr>
        <a:xfrm>
          <a:off x="649435" y="2172386"/>
          <a:ext cx="2642405" cy="1041478"/>
          <a:chOff x="649435" y="1923069"/>
          <a:chExt cx="2450953" cy="1000044"/>
        </a:xfrm>
      </xdr:grpSpPr>
      <xdr:cxnSp macro="">
        <xdr:nvCxnSpPr>
          <xdr:cNvPr id="10" name="Straight Connector 9"/>
          <xdr:cNvCxnSpPr/>
        </xdr:nvCxnSpPr>
        <xdr:spPr>
          <a:xfrm>
            <a:off x="1293019" y="2477691"/>
            <a:ext cx="348961" cy="0"/>
          </a:xfrm>
          <a:prstGeom prst="line">
            <a:avLst/>
          </a:prstGeom>
          <a:ln w="12700">
            <a:solidFill>
              <a:schemeClr val="tx1"/>
            </a:solidFill>
            <a:prstDash val="sysDash"/>
            <a:tailEnd type="arrow" w="sm" len="med"/>
          </a:ln>
        </xdr:spPr>
        <xdr:style>
          <a:lnRef idx="1">
            <a:schemeClr val="accent1"/>
          </a:lnRef>
          <a:fillRef idx="0">
            <a:schemeClr val="accent1"/>
          </a:fillRef>
          <a:effectRef idx="0">
            <a:schemeClr val="accent1"/>
          </a:effectRef>
          <a:fontRef idx="minor">
            <a:schemeClr val="tx1"/>
          </a:fontRef>
        </xdr:style>
      </xdr:cxnSp>
      <xdr:sp macro="" textlink="">
        <xdr:nvSpPr>
          <xdr:cNvPr id="2" name="Oval 1"/>
          <xdr:cNvSpPr/>
        </xdr:nvSpPr>
        <xdr:spPr>
          <a:xfrm>
            <a:off x="2681288" y="2270522"/>
            <a:ext cx="419100" cy="415528"/>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en-ZA" sz="1100">
                <a:solidFill>
                  <a:sysClr val="windowText" lastClr="000000"/>
                </a:solidFill>
              </a:rPr>
              <a:t>Son</a:t>
            </a:r>
          </a:p>
        </xdr:txBody>
      </xdr:sp>
      <xdr:sp macro="" textlink="">
        <xdr:nvSpPr>
          <xdr:cNvPr id="3" name="Oval 2"/>
          <xdr:cNvSpPr/>
        </xdr:nvSpPr>
        <xdr:spPr>
          <a:xfrm>
            <a:off x="1121570" y="2393156"/>
            <a:ext cx="171450" cy="170260"/>
          </a:xfrm>
          <a:prstGeom prst="ellipse">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ZA" sz="1100"/>
          </a:p>
        </xdr:txBody>
      </xdr:sp>
      <xdr:sp macro="" textlink="">
        <xdr:nvSpPr>
          <xdr:cNvPr id="4" name="TextBox 3"/>
          <xdr:cNvSpPr txBox="1"/>
        </xdr:nvSpPr>
        <xdr:spPr>
          <a:xfrm>
            <a:off x="649435" y="2327344"/>
            <a:ext cx="52738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ZA" sz="1100"/>
              <a:t>Aarde</a:t>
            </a:r>
          </a:p>
        </xdr:txBody>
      </xdr:sp>
      <xdr:cxnSp macro="">
        <xdr:nvCxnSpPr>
          <xdr:cNvPr id="6" name="Straight Arrow Connector 5"/>
          <xdr:cNvCxnSpPr/>
        </xdr:nvCxnSpPr>
        <xdr:spPr>
          <a:xfrm>
            <a:off x="1207295" y="2611041"/>
            <a:ext cx="0" cy="188118"/>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TextBox 10"/>
          <xdr:cNvSpPr txBox="1"/>
        </xdr:nvSpPr>
        <xdr:spPr>
          <a:xfrm>
            <a:off x="1927749" y="1923069"/>
            <a:ext cx="23384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ZA" sz="1100"/>
              <a:t>r</a:t>
            </a:r>
          </a:p>
        </xdr:txBody>
      </xdr:sp>
      <xdr:sp macro="" textlink="">
        <xdr:nvSpPr>
          <xdr:cNvPr id="12" name="TextBox 11"/>
          <xdr:cNvSpPr txBox="1"/>
        </xdr:nvSpPr>
        <xdr:spPr>
          <a:xfrm>
            <a:off x="1191728" y="2658553"/>
            <a:ext cx="24840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ZA" sz="1100"/>
              <a:t>v</a:t>
            </a:r>
          </a:p>
        </xdr:txBody>
      </xdr:sp>
      <xdr:sp macro="" textlink="">
        <xdr:nvSpPr>
          <xdr:cNvPr id="14" name="TextBox 13"/>
          <xdr:cNvSpPr txBox="1"/>
        </xdr:nvSpPr>
        <xdr:spPr>
          <a:xfrm>
            <a:off x="1594375" y="2331671"/>
            <a:ext cx="25224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ZA" sz="1100"/>
              <a:t>a</a:t>
            </a:r>
          </a:p>
        </xdr:txBody>
      </xdr:sp>
      <xdr:sp macro="" textlink="">
        <xdr:nvSpPr>
          <xdr:cNvPr id="15" name="Right Brace 14"/>
          <xdr:cNvSpPr/>
        </xdr:nvSpPr>
        <xdr:spPr>
          <a:xfrm rot="16200000">
            <a:off x="1985641" y="1356232"/>
            <a:ext cx="112568" cy="167878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ZA" sz="1100"/>
          </a:p>
        </xdr:txBody>
      </xdr:sp>
    </xdr:grpSp>
    <xdr:clientData/>
  </xdr:twoCellAnchor>
  <xdr:twoCellAnchor>
    <xdr:from>
      <xdr:col>0</xdr:col>
      <xdr:colOff>457199</xdr:colOff>
      <xdr:row>52</xdr:row>
      <xdr:rowOff>104775</xdr:rowOff>
    </xdr:from>
    <xdr:to>
      <xdr:col>7</xdr:col>
      <xdr:colOff>285749</xdr:colOff>
      <xdr:row>71</xdr:row>
      <xdr:rowOff>152400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299416</xdr:colOff>
      <xdr:row>3</xdr:row>
      <xdr:rowOff>141614</xdr:rowOff>
    </xdr:from>
    <xdr:to>
      <xdr:col>3</xdr:col>
      <xdr:colOff>1700479</xdr:colOff>
      <xdr:row>13</xdr:row>
      <xdr:rowOff>156483</xdr:rowOff>
    </xdr:to>
    <xdr:grpSp>
      <xdr:nvGrpSpPr>
        <xdr:cNvPr id="51" name="Group 50"/>
        <xdr:cNvGrpSpPr/>
      </xdr:nvGrpSpPr>
      <xdr:grpSpPr>
        <a:xfrm>
          <a:off x="299416" y="1177934"/>
          <a:ext cx="4616703" cy="1691269"/>
          <a:chOff x="308941" y="740375"/>
          <a:chExt cx="4550225" cy="1657111"/>
        </a:xfrm>
      </xdr:grpSpPr>
      <xdr:sp macro="" textlink="">
        <xdr:nvSpPr>
          <xdr:cNvPr id="2" name="Oval 1"/>
          <xdr:cNvSpPr/>
        </xdr:nvSpPr>
        <xdr:spPr>
          <a:xfrm>
            <a:off x="614229" y="1006479"/>
            <a:ext cx="1079349" cy="1080616"/>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ZA" sz="1100">
              <a:solidFill>
                <a:sysClr val="windowText" lastClr="000000"/>
              </a:solidFill>
            </a:endParaRPr>
          </a:p>
        </xdr:txBody>
      </xdr:sp>
      <xdr:sp macro="" textlink="">
        <xdr:nvSpPr>
          <xdr:cNvPr id="3" name="Oval 2"/>
          <xdr:cNvSpPr/>
        </xdr:nvSpPr>
        <xdr:spPr>
          <a:xfrm>
            <a:off x="4079635" y="1300529"/>
            <a:ext cx="486114" cy="492516"/>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ZA" sz="1100">
              <a:solidFill>
                <a:sysClr val="windowText" lastClr="000000"/>
              </a:solidFill>
            </a:endParaRPr>
          </a:p>
        </xdr:txBody>
      </xdr:sp>
      <xdr:sp macro="" textlink="">
        <xdr:nvSpPr>
          <xdr:cNvPr id="4" name="TextBox 3"/>
          <xdr:cNvSpPr txBox="1"/>
        </xdr:nvSpPr>
        <xdr:spPr>
          <a:xfrm>
            <a:off x="4057967" y="972396"/>
            <a:ext cx="528086" cy="267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ZA" sz="1100"/>
              <a:t>Aarde</a:t>
            </a:r>
          </a:p>
        </xdr:txBody>
      </xdr:sp>
      <xdr:cxnSp macro="">
        <xdr:nvCxnSpPr>
          <xdr:cNvPr id="6" name="Straight Connector 5"/>
          <xdr:cNvCxnSpPr>
            <a:endCxn id="3" idx="2"/>
          </xdr:cNvCxnSpPr>
        </xdr:nvCxnSpPr>
        <xdr:spPr>
          <a:xfrm>
            <a:off x="757209" y="915921"/>
            <a:ext cx="3322426" cy="629756"/>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a:endCxn id="3" idx="2"/>
          </xdr:cNvCxnSpPr>
        </xdr:nvCxnSpPr>
        <xdr:spPr>
          <a:xfrm flipV="1">
            <a:off x="902224" y="1545677"/>
            <a:ext cx="3177411" cy="597099"/>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3" name="Oval 12"/>
          <xdr:cNvSpPr/>
        </xdr:nvSpPr>
        <xdr:spPr>
          <a:xfrm>
            <a:off x="3053976" y="1388868"/>
            <a:ext cx="308111" cy="315837"/>
          </a:xfrm>
          <a:prstGeom prst="ellipse">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ZA" sz="1100">
              <a:solidFill>
                <a:sysClr val="windowText" lastClr="000000"/>
              </a:solidFill>
            </a:endParaRPr>
          </a:p>
        </xdr:txBody>
      </xdr:sp>
      <xdr:sp macro="" textlink="">
        <xdr:nvSpPr>
          <xdr:cNvPr id="14" name="TextBox 13"/>
          <xdr:cNvSpPr txBox="1"/>
        </xdr:nvSpPr>
        <xdr:spPr>
          <a:xfrm>
            <a:off x="2857790" y="925193"/>
            <a:ext cx="515152" cy="269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ZA" sz="1100"/>
              <a:t>Maan</a:t>
            </a:r>
          </a:p>
        </xdr:txBody>
      </xdr:sp>
      <xdr:cxnSp macro="">
        <xdr:nvCxnSpPr>
          <xdr:cNvPr id="16" name="Straight Connector 15"/>
          <xdr:cNvCxnSpPr/>
        </xdr:nvCxnSpPr>
        <xdr:spPr>
          <a:xfrm>
            <a:off x="1155575" y="815893"/>
            <a:ext cx="0" cy="150311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a:off x="522862" y="1540884"/>
            <a:ext cx="4110096"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a:xfrm flipH="1">
            <a:off x="1154317" y="949199"/>
            <a:ext cx="98118" cy="59070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29" name="Rectangle 28"/>
          <xdr:cNvSpPr/>
        </xdr:nvSpPr>
        <xdr:spPr>
          <a:xfrm rot="546841">
            <a:off x="1237065" y="1016641"/>
            <a:ext cx="83384" cy="8282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ZA" sz="1100"/>
          </a:p>
        </xdr:txBody>
      </xdr:sp>
      <xdr:sp macro="" textlink="">
        <xdr:nvSpPr>
          <xdr:cNvPr id="20" name="TextBox 19"/>
          <xdr:cNvSpPr txBox="1"/>
        </xdr:nvSpPr>
        <xdr:spPr>
          <a:xfrm>
            <a:off x="1151047" y="740375"/>
            <a:ext cx="255590" cy="2697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ZA" sz="1000"/>
              <a:t>T</a:t>
            </a:r>
          </a:p>
        </xdr:txBody>
      </xdr:sp>
      <xdr:sp macro="" textlink="">
        <xdr:nvSpPr>
          <xdr:cNvPr id="21" name="TextBox 20"/>
          <xdr:cNvSpPr txBox="1"/>
        </xdr:nvSpPr>
        <xdr:spPr>
          <a:xfrm>
            <a:off x="3872224" y="1300366"/>
            <a:ext cx="263674" cy="267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ZA" sz="1000"/>
              <a:t>C</a:t>
            </a:r>
          </a:p>
        </xdr:txBody>
      </xdr:sp>
      <xdr:sp macro="" textlink="">
        <xdr:nvSpPr>
          <xdr:cNvPr id="22" name="TextBox 21"/>
          <xdr:cNvSpPr txBox="1"/>
        </xdr:nvSpPr>
        <xdr:spPr>
          <a:xfrm>
            <a:off x="1116363" y="1490475"/>
            <a:ext cx="251645" cy="267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ZA" sz="1000"/>
              <a:t>S</a:t>
            </a:r>
          </a:p>
        </xdr:txBody>
      </xdr:sp>
      <xdr:sp macro="" textlink="">
        <xdr:nvSpPr>
          <xdr:cNvPr id="23" name="TextBox 22"/>
          <xdr:cNvSpPr txBox="1"/>
        </xdr:nvSpPr>
        <xdr:spPr>
          <a:xfrm>
            <a:off x="308941" y="1032893"/>
            <a:ext cx="401429" cy="267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ZA" sz="1100"/>
              <a:t>Son</a:t>
            </a:r>
          </a:p>
        </xdr:txBody>
      </xdr:sp>
      <xdr:cxnSp macro="">
        <xdr:nvCxnSpPr>
          <xdr:cNvPr id="26" name="Straight Connector 25"/>
          <xdr:cNvCxnSpPr/>
        </xdr:nvCxnSpPr>
        <xdr:spPr>
          <a:xfrm>
            <a:off x="3207354" y="1328141"/>
            <a:ext cx="0" cy="4667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7" name="TextBox 26"/>
          <xdr:cNvSpPr txBox="1"/>
        </xdr:nvSpPr>
        <xdr:spPr>
          <a:xfrm>
            <a:off x="3429021" y="1057032"/>
            <a:ext cx="273576" cy="269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ZA" sz="1000"/>
              <a:t>N</a:t>
            </a:r>
          </a:p>
        </xdr:txBody>
      </xdr:sp>
      <xdr:sp macro="" textlink="">
        <xdr:nvSpPr>
          <xdr:cNvPr id="28" name="TextBox 27"/>
          <xdr:cNvSpPr txBox="1"/>
        </xdr:nvSpPr>
        <xdr:spPr>
          <a:xfrm>
            <a:off x="3379470" y="1778910"/>
            <a:ext cx="303390" cy="267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ZA" sz="1000"/>
              <a:t>M</a:t>
            </a:r>
          </a:p>
        </xdr:txBody>
      </xdr:sp>
      <xdr:cxnSp macro="">
        <xdr:nvCxnSpPr>
          <xdr:cNvPr id="31" name="Straight Connector 30"/>
          <xdr:cNvCxnSpPr/>
        </xdr:nvCxnSpPr>
        <xdr:spPr>
          <a:xfrm flipH="1">
            <a:off x="3268229" y="1201260"/>
            <a:ext cx="220149" cy="144736"/>
          </a:xfrm>
          <a:prstGeom prst="line">
            <a:avLst/>
          </a:prstGeom>
          <a:ln w="635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sp macro="" textlink="">
        <xdr:nvSpPr>
          <xdr:cNvPr id="33" name="Rectangle 32"/>
          <xdr:cNvSpPr/>
        </xdr:nvSpPr>
        <xdr:spPr>
          <a:xfrm rot="546841">
            <a:off x="3229164" y="1395321"/>
            <a:ext cx="65753" cy="6706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ZA" sz="1100"/>
          </a:p>
        </xdr:txBody>
      </xdr:sp>
      <xdr:cxnSp macro="">
        <xdr:nvCxnSpPr>
          <xdr:cNvPr id="35" name="Straight Connector 34"/>
          <xdr:cNvCxnSpPr/>
        </xdr:nvCxnSpPr>
        <xdr:spPr>
          <a:xfrm flipV="1">
            <a:off x="3207750" y="1360052"/>
            <a:ext cx="33756" cy="185782"/>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xdr:cNvCxnSpPr/>
        </xdr:nvCxnSpPr>
        <xdr:spPr>
          <a:xfrm flipH="1" flipV="1">
            <a:off x="3227777" y="1571196"/>
            <a:ext cx="216259" cy="270091"/>
          </a:xfrm>
          <a:prstGeom prst="line">
            <a:avLst/>
          </a:prstGeom>
          <a:ln w="635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sp macro="" textlink="">
        <xdr:nvSpPr>
          <xdr:cNvPr id="43" name="TextBox 42"/>
          <xdr:cNvSpPr txBox="1"/>
        </xdr:nvSpPr>
        <xdr:spPr>
          <a:xfrm>
            <a:off x="3745291" y="1929058"/>
            <a:ext cx="1113875" cy="4684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ZA" sz="1000"/>
              <a:t>B (punt op aarde </a:t>
            </a:r>
          </a:p>
          <a:p>
            <a:r>
              <a:rPr lang="en-ZA" sz="1000"/>
              <a:t>se oppervlak)</a:t>
            </a:r>
          </a:p>
        </xdr:txBody>
      </xdr:sp>
      <xdr:cxnSp macro="">
        <xdr:nvCxnSpPr>
          <xdr:cNvPr id="44" name="Straight Connector 43"/>
          <xdr:cNvCxnSpPr>
            <a:endCxn id="3" idx="2"/>
          </xdr:cNvCxnSpPr>
        </xdr:nvCxnSpPr>
        <xdr:spPr>
          <a:xfrm flipV="1">
            <a:off x="3923288" y="1544885"/>
            <a:ext cx="156347" cy="416076"/>
          </a:xfrm>
          <a:prstGeom prst="line">
            <a:avLst/>
          </a:prstGeom>
          <a:ln w="635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35"/>
          <xdr:cNvCxnSpPr/>
        </xdr:nvCxnSpPr>
        <xdr:spPr>
          <a:xfrm>
            <a:off x="1217263" y="1176958"/>
            <a:ext cx="1987326" cy="36044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41" name="TextBox 40"/>
          <xdr:cNvSpPr txBox="1"/>
        </xdr:nvSpPr>
        <xdr:spPr>
          <a:xfrm>
            <a:off x="834140" y="1148856"/>
            <a:ext cx="255590" cy="2725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ZA" sz="1000"/>
              <a:t>U</a:t>
            </a:r>
          </a:p>
        </xdr:txBody>
      </xdr:sp>
      <xdr:sp macro="" textlink="">
        <xdr:nvSpPr>
          <xdr:cNvPr id="46" name="Rectangle 45"/>
          <xdr:cNvSpPr/>
        </xdr:nvSpPr>
        <xdr:spPr>
          <a:xfrm rot="546841">
            <a:off x="1208693" y="1184917"/>
            <a:ext cx="83384" cy="8282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ZA" sz="1100"/>
          </a:p>
        </xdr:txBody>
      </xdr:sp>
      <xdr:cxnSp macro="">
        <xdr:nvCxnSpPr>
          <xdr:cNvPr id="48" name="Straight Connector 47"/>
          <xdr:cNvCxnSpPr/>
        </xdr:nvCxnSpPr>
        <xdr:spPr>
          <a:xfrm flipV="1">
            <a:off x="1037617" y="1183908"/>
            <a:ext cx="154201" cy="67829"/>
          </a:xfrm>
          <a:prstGeom prst="line">
            <a:avLst/>
          </a:prstGeom>
          <a:ln w="635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1074420</xdr:colOff>
          <xdr:row>26</xdr:row>
          <xdr:rowOff>7620</xdr:rowOff>
        </xdr:from>
        <xdr:to>
          <xdr:col>0</xdr:col>
          <xdr:colOff>2263140</xdr:colOff>
          <xdr:row>29</xdr:row>
          <xdr:rowOff>45720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754380</xdr:colOff>
          <xdr:row>34</xdr:row>
          <xdr:rowOff>22860</xdr:rowOff>
        </xdr:from>
        <xdr:to>
          <xdr:col>1</xdr:col>
          <xdr:colOff>281940</xdr:colOff>
          <xdr:row>37</xdr:row>
          <xdr:rowOff>60960</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n.wikipedia.org/wiki/Universe" TargetMode="External"/><Relationship Id="rId7" Type="http://schemas.openxmlformats.org/officeDocument/2006/relationships/comments" Target="../comments1.xml"/><Relationship Id="rId2" Type="http://schemas.openxmlformats.org/officeDocument/2006/relationships/hyperlink" Target="http://en.wikipedia.org/wiki/Light-year" TargetMode="External"/><Relationship Id="rId1" Type="http://schemas.openxmlformats.org/officeDocument/2006/relationships/hyperlink" Target="http://en.wikipedia.org/wiki/Light-year"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en.wikipedia.org/wiki/Milky_Way"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windows.ucar.edu/tour/link=/earth/statistics.html" TargetMode="External"/><Relationship Id="rId7" Type="http://schemas.openxmlformats.org/officeDocument/2006/relationships/printerSettings" Target="../printerSettings/printerSettings2.bin"/><Relationship Id="rId2" Type="http://schemas.openxmlformats.org/officeDocument/2006/relationships/hyperlink" Target="http://en.wikipedia.org/wiki/Mercury_(planet)" TargetMode="External"/><Relationship Id="rId1" Type="http://schemas.openxmlformats.org/officeDocument/2006/relationships/hyperlink" Target="http://www.windows2universe.org/sun/statistics.html" TargetMode="External"/><Relationship Id="rId6" Type="http://schemas.openxmlformats.org/officeDocument/2006/relationships/hyperlink" Target="http://en.wikipedia.org/wiki/Antares" TargetMode="External"/><Relationship Id="rId5" Type="http://schemas.openxmlformats.org/officeDocument/2006/relationships/hyperlink" Target="http://en.wikipedia.org/wiki/Moon" TargetMode="External"/><Relationship Id="rId4" Type="http://schemas.openxmlformats.org/officeDocument/2006/relationships/hyperlink" Target="http://wiki.answers.com/Q/What_is_the_distance_from_the_sun_to_the_Earth"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glodiebybel.co.za/component/content/article/676-ons-unieke-planeet-aarde.html" TargetMode="External"/></Relationships>
</file>

<file path=xl/worksheets/_rels/sheet5.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https://af.wikipedia.org/wiki/Kombinasie" TargetMode="External"/><Relationship Id="rId7" Type="http://schemas.openxmlformats.org/officeDocument/2006/relationships/oleObject" Target="../embeddings/oleObject1.bin"/><Relationship Id="rId2" Type="http://schemas.openxmlformats.org/officeDocument/2006/relationships/hyperlink" Target="http://www.glodiebybel.co.za/component/content/article/75-2010-01-28-ons-is-in-die-middel.html" TargetMode="External"/><Relationship Id="rId1" Type="http://schemas.openxmlformats.org/officeDocument/2006/relationships/hyperlink" Target="http://creation.com/our-galaxy-is-the-centre-of-the-universe-quantized-redshifts-show" TargetMode="External"/><Relationship Id="rId6" Type="http://schemas.openxmlformats.org/officeDocument/2006/relationships/vmlDrawing" Target="../drawings/vmlDrawing2.vml"/><Relationship Id="rId5" Type="http://schemas.openxmlformats.org/officeDocument/2006/relationships/drawing" Target="../drawings/drawing3.xml"/><Relationship Id="rId10" Type="http://schemas.openxmlformats.org/officeDocument/2006/relationships/image" Target="../media/image2.emf"/><Relationship Id="rId4" Type="http://schemas.openxmlformats.org/officeDocument/2006/relationships/printerSettings" Target="../printerSettings/printerSettings5.bin"/><Relationship Id="rId9"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6"/>
  <sheetViews>
    <sheetView tabSelected="1" workbookViewId="0"/>
  </sheetViews>
  <sheetFormatPr defaultRowHeight="13.2" x14ac:dyDescent="0.25"/>
  <cols>
    <col min="1" max="1" width="45.109375" customWidth="1"/>
    <col min="2" max="2" width="11.33203125" style="1" customWidth="1"/>
    <col min="3" max="4" width="9.5546875" bestFit="1" customWidth="1"/>
    <col min="6" max="6" width="9.5546875" bestFit="1" customWidth="1"/>
  </cols>
  <sheetData>
    <row r="1" spans="1:6" ht="17.399999999999999" x14ac:dyDescent="0.3">
      <c r="A1" s="13" t="s">
        <v>18</v>
      </c>
    </row>
    <row r="4" spans="1:6" ht="13.8" x14ac:dyDescent="0.25">
      <c r="A4" s="14" t="s">
        <v>16</v>
      </c>
      <c r="B4" s="9"/>
      <c r="C4" s="10"/>
      <c r="D4" s="9"/>
      <c r="E4" s="11"/>
    </row>
    <row r="5" spans="1:6" x14ac:dyDescent="0.25">
      <c r="A5" t="s">
        <v>2</v>
      </c>
      <c r="B5" s="1">
        <v>24</v>
      </c>
      <c r="C5" t="s">
        <v>7</v>
      </c>
    </row>
    <row r="6" spans="1:6" x14ac:dyDescent="0.25">
      <c r="A6" t="s">
        <v>3</v>
      </c>
      <c r="B6" s="2">
        <v>365.25</v>
      </c>
      <c r="C6" t="s">
        <v>6</v>
      </c>
    </row>
    <row r="7" spans="1:6" x14ac:dyDescent="0.25">
      <c r="A7" t="s">
        <v>1</v>
      </c>
      <c r="B7" s="1">
        <f>B5*B6</f>
        <v>8766</v>
      </c>
      <c r="C7" s="6" t="s">
        <v>29</v>
      </c>
    </row>
    <row r="8" spans="1:6" x14ac:dyDescent="0.25">
      <c r="A8" s="6" t="s">
        <v>11</v>
      </c>
      <c r="B8" s="1">
        <f>B7*3600</f>
        <v>31557600</v>
      </c>
      <c r="C8" s="6" t="s">
        <v>12</v>
      </c>
      <c r="E8" s="4"/>
    </row>
    <row r="9" spans="1:6" x14ac:dyDescent="0.25">
      <c r="A9" s="6"/>
      <c r="C9" s="6"/>
      <c r="E9" s="4"/>
    </row>
    <row r="10" spans="1:6" x14ac:dyDescent="0.25">
      <c r="A10" s="6"/>
      <c r="C10" s="6"/>
      <c r="E10" s="4"/>
    </row>
    <row r="11" spans="1:6" ht="13.8" x14ac:dyDescent="0.25">
      <c r="A11" s="14" t="s">
        <v>27</v>
      </c>
      <c r="B11" s="9"/>
      <c r="C11" s="10"/>
      <c r="D11" s="9"/>
      <c r="E11" s="11"/>
    </row>
    <row r="12" spans="1:6" x14ac:dyDescent="0.25">
      <c r="A12" t="s">
        <v>8</v>
      </c>
      <c r="B12" s="16">
        <v>299792458</v>
      </c>
      <c r="C12" s="6" t="s">
        <v>17</v>
      </c>
      <c r="F12" s="7" t="s">
        <v>10</v>
      </c>
    </row>
    <row r="13" spans="1:6" x14ac:dyDescent="0.25">
      <c r="A13" t="s">
        <v>9</v>
      </c>
      <c r="B13" s="16">
        <f>B12*B8</f>
        <v>9460730472580800</v>
      </c>
      <c r="C13" s="6" t="s">
        <v>32</v>
      </c>
      <c r="D13" s="5">
        <v>9460730472580800</v>
      </c>
      <c r="E13" s="6" t="s">
        <v>32</v>
      </c>
      <c r="F13" s="7" t="s">
        <v>10</v>
      </c>
    </row>
    <row r="14" spans="1:6" x14ac:dyDescent="0.25">
      <c r="B14" s="5"/>
      <c r="C14" s="6"/>
      <c r="D14" s="5"/>
      <c r="E14" s="7"/>
    </row>
    <row r="15" spans="1:6" x14ac:dyDescent="0.25">
      <c r="B15" s="5"/>
      <c r="C15" s="6"/>
      <c r="D15" s="5"/>
      <c r="E15" s="7"/>
    </row>
    <row r="16" spans="1:6" x14ac:dyDescent="0.25">
      <c r="B16" s="5"/>
      <c r="C16" s="6"/>
      <c r="D16" s="5"/>
      <c r="E16" s="6"/>
    </row>
    <row r="17" spans="1:6" ht="13.8" x14ac:dyDescent="0.25">
      <c r="A17" s="14" t="s">
        <v>15</v>
      </c>
      <c r="B17" s="9"/>
      <c r="C17" s="10"/>
      <c r="D17" s="9"/>
      <c r="E17" s="11"/>
      <c r="F17" s="7" t="s">
        <v>23</v>
      </c>
    </row>
    <row r="18" spans="1:6" x14ac:dyDescent="0.25">
      <c r="A18" s="6" t="s">
        <v>31</v>
      </c>
      <c r="B18" s="1">
        <v>100000</v>
      </c>
      <c r="C18" s="6" t="s">
        <v>22</v>
      </c>
      <c r="D18" s="5">
        <f>B18*$B$13</f>
        <v>9.4607304725807995E+20</v>
      </c>
      <c r="E18" s="6" t="s">
        <v>13</v>
      </c>
      <c r="F18" s="5"/>
    </row>
    <row r="19" spans="1:6" x14ac:dyDescent="0.25">
      <c r="B19" s="1">
        <v>120000</v>
      </c>
      <c r="C19" s="6" t="s">
        <v>22</v>
      </c>
      <c r="D19" s="5">
        <f>B19*$B$13</f>
        <v>1.135287656709696E+21</v>
      </c>
      <c r="E19" s="6" t="s">
        <v>13</v>
      </c>
    </row>
    <row r="20" spans="1:6" x14ac:dyDescent="0.25">
      <c r="A20" s="6" t="s">
        <v>24</v>
      </c>
      <c r="B20" s="1">
        <v>26000</v>
      </c>
      <c r="C20" s="6" t="s">
        <v>22</v>
      </c>
      <c r="D20" s="5">
        <f>B20*$B$13</f>
        <v>2.459789922871008E+20</v>
      </c>
      <c r="E20" s="6" t="s">
        <v>13</v>
      </c>
    </row>
    <row r="23" spans="1:6" ht="13.8" x14ac:dyDescent="0.25">
      <c r="A23" s="14" t="s">
        <v>14</v>
      </c>
      <c r="B23" s="9"/>
      <c r="C23" s="10"/>
      <c r="D23" s="9"/>
      <c r="E23" s="11"/>
    </row>
    <row r="24" spans="1:6" x14ac:dyDescent="0.25">
      <c r="A24" s="20" t="s">
        <v>224</v>
      </c>
      <c r="B24" s="16">
        <v>30000000000</v>
      </c>
      <c r="C24" s="6" t="s">
        <v>22</v>
      </c>
      <c r="D24" s="16">
        <f>B24*$B$13</f>
        <v>2.83821914177424E+26</v>
      </c>
      <c r="E24" s="6" t="s">
        <v>13</v>
      </c>
      <c r="F24" s="7" t="s">
        <v>21</v>
      </c>
    </row>
    <row r="25" spans="1:6" x14ac:dyDescent="0.25">
      <c r="A25" s="20" t="s">
        <v>225</v>
      </c>
      <c r="B25" s="16">
        <f>2*46000000000</f>
        <v>92000000000</v>
      </c>
      <c r="C25" s="6" t="s">
        <v>22</v>
      </c>
      <c r="D25" s="16">
        <f>B25*$B$13</f>
        <v>8.7038720347743362E+26</v>
      </c>
      <c r="E25" s="6" t="s">
        <v>13</v>
      </c>
    </row>
    <row r="26" spans="1:6" x14ac:dyDescent="0.25">
      <c r="B26" s="8"/>
      <c r="C26" s="5"/>
    </row>
  </sheetData>
  <phoneticPr fontId="3" type="noConversion"/>
  <hyperlinks>
    <hyperlink ref="F12" r:id="rId1"/>
    <hyperlink ref="F13" r:id="rId2"/>
    <hyperlink ref="F24" r:id="rId3"/>
    <hyperlink ref="F17" r:id="rId4"/>
  </hyperlinks>
  <pageMargins left="0.75" right="0.75" top="1" bottom="1" header="0.5" footer="0.5"/>
  <pageSetup paperSize="9" orientation="portrait" r:id="rId5"/>
  <headerFooter alignWithMargins="0"/>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workbookViewId="0"/>
  </sheetViews>
  <sheetFormatPr defaultRowHeight="13.2" x14ac:dyDescent="0.25"/>
  <cols>
    <col min="1" max="1" width="56.5546875" bestFit="1" customWidth="1"/>
    <col min="2" max="2" width="12.109375" customWidth="1"/>
    <col min="3" max="3" width="11.109375" bestFit="1" customWidth="1"/>
    <col min="4" max="4" width="10.109375" customWidth="1"/>
    <col min="6" max="6" width="12.44140625" bestFit="1" customWidth="1"/>
    <col min="8" max="8" width="9.109375" customWidth="1"/>
  </cols>
  <sheetData>
    <row r="1" spans="1:5" ht="21" x14ac:dyDescent="0.4">
      <c r="A1" s="32" t="s">
        <v>208</v>
      </c>
    </row>
    <row r="4" spans="1:5" ht="15.6" x14ac:dyDescent="0.3">
      <c r="A4" s="19" t="s">
        <v>124</v>
      </c>
    </row>
    <row r="5" spans="1:5" x14ac:dyDescent="0.25">
      <c r="A5" s="7" t="s">
        <v>119</v>
      </c>
    </row>
    <row r="6" spans="1:5" x14ac:dyDescent="0.25">
      <c r="A6" t="s">
        <v>50</v>
      </c>
      <c r="B6" s="1">
        <v>1400000</v>
      </c>
      <c r="C6" t="s">
        <v>0</v>
      </c>
      <c r="D6" s="1"/>
      <c r="E6" s="20"/>
    </row>
    <row r="7" spans="1:5" x14ac:dyDescent="0.25">
      <c r="A7" t="s">
        <v>51</v>
      </c>
      <c r="B7" s="1">
        <f>PI()*B6</f>
        <v>4398229.7150257099</v>
      </c>
      <c r="C7" t="s">
        <v>0</v>
      </c>
    </row>
    <row r="8" spans="1:5" x14ac:dyDescent="0.25">
      <c r="A8" t="s">
        <v>26</v>
      </c>
      <c r="B8" s="1">
        <v>330000</v>
      </c>
      <c r="C8" t="s">
        <v>116</v>
      </c>
    </row>
    <row r="9" spans="1:5" x14ac:dyDescent="0.25">
      <c r="A9" t="s">
        <v>26</v>
      </c>
      <c r="B9" s="16">
        <v>2E+30</v>
      </c>
      <c r="C9" s="6" t="s">
        <v>25</v>
      </c>
      <c r="D9" s="21"/>
    </row>
    <row r="10" spans="1:5" ht="15.6" x14ac:dyDescent="0.25">
      <c r="A10" t="s">
        <v>114</v>
      </c>
      <c r="B10" s="16">
        <f>4/3*PI()*(B6*1000/2)^3</f>
        <v>1.4367550402417319E+27</v>
      </c>
      <c r="C10" t="s">
        <v>115</v>
      </c>
    </row>
    <row r="11" spans="1:5" ht="15.6" x14ac:dyDescent="0.25">
      <c r="A11" t="s">
        <v>54</v>
      </c>
      <c r="B11">
        <v>1410</v>
      </c>
      <c r="C11" s="27">
        <f>B9/B10</f>
        <v>1392.0257413285308</v>
      </c>
      <c r="D11" t="s">
        <v>55</v>
      </c>
    </row>
    <row r="12" spans="1:5" x14ac:dyDescent="0.25">
      <c r="A12" t="s">
        <v>52</v>
      </c>
      <c r="B12" s="1">
        <v>149600000</v>
      </c>
      <c r="C12" t="s">
        <v>0</v>
      </c>
      <c r="D12">
        <f>B12*1000</f>
        <v>149600000000</v>
      </c>
      <c r="E12" s="20" t="s">
        <v>13</v>
      </c>
    </row>
    <row r="13" spans="1:5" x14ac:dyDescent="0.25">
      <c r="A13" t="s">
        <v>120</v>
      </c>
      <c r="B13" s="1">
        <v>14000000</v>
      </c>
      <c r="C13" t="s">
        <v>65</v>
      </c>
    </row>
    <row r="14" spans="1:5" x14ac:dyDescent="0.25">
      <c r="A14" t="s">
        <v>121</v>
      </c>
      <c r="B14" s="1">
        <v>5500</v>
      </c>
      <c r="C14" t="s">
        <v>65</v>
      </c>
    </row>
    <row r="15" spans="1:5" x14ac:dyDescent="0.25">
      <c r="A15" t="s">
        <v>117</v>
      </c>
      <c r="B15">
        <v>25</v>
      </c>
      <c r="C15" t="s">
        <v>118</v>
      </c>
    </row>
    <row r="16" spans="1:5" x14ac:dyDescent="0.25">
      <c r="A16" t="s">
        <v>122</v>
      </c>
      <c r="B16">
        <v>35</v>
      </c>
      <c r="C16" t="s">
        <v>118</v>
      </c>
    </row>
    <row r="19" spans="1:11" ht="15.6" x14ac:dyDescent="0.3">
      <c r="A19" s="19" t="s">
        <v>125</v>
      </c>
      <c r="E19" s="7" t="s">
        <v>19</v>
      </c>
    </row>
    <row r="21" spans="1:11" x14ac:dyDescent="0.25">
      <c r="A21" t="s">
        <v>50</v>
      </c>
      <c r="B21" s="1">
        <v>12756.28</v>
      </c>
      <c r="C21" t="s">
        <v>0</v>
      </c>
      <c r="D21" s="1">
        <f>B21*1000</f>
        <v>12756280</v>
      </c>
      <c r="E21" s="20" t="s">
        <v>13</v>
      </c>
    </row>
    <row r="22" spans="1:11" x14ac:dyDescent="0.25">
      <c r="A22" t="s">
        <v>51</v>
      </c>
      <c r="B22" s="1">
        <f>PI()*B21</f>
        <v>40075.035535134411</v>
      </c>
      <c r="C22" t="s">
        <v>0</v>
      </c>
    </row>
    <row r="23" spans="1:11" x14ac:dyDescent="0.25">
      <c r="A23" s="20" t="s">
        <v>192</v>
      </c>
      <c r="B23" s="1">
        <f>4*PI()*(B21/2)^2</f>
        <v>511208374.2961244</v>
      </c>
      <c r="C23" s="20" t="s">
        <v>193</v>
      </c>
    </row>
    <row r="24" spans="1:11" x14ac:dyDescent="0.25">
      <c r="A24" s="20" t="s">
        <v>114</v>
      </c>
      <c r="B24" s="16">
        <f>4/3*PI()*(B21/2)^3</f>
        <v>1086852860144.361</v>
      </c>
      <c r="C24" s="20" t="s">
        <v>190</v>
      </c>
    </row>
    <row r="25" spans="1:11" x14ac:dyDescent="0.25">
      <c r="A25" s="20" t="s">
        <v>209</v>
      </c>
      <c r="B25" s="1">
        <f>B22/24</f>
        <v>1669.7931472972671</v>
      </c>
      <c r="C25" s="20" t="s">
        <v>5</v>
      </c>
      <c r="D25" s="12">
        <f>B25*1000/3600</f>
        <v>463.83142980479641</v>
      </c>
      <c r="E25" s="20" t="s">
        <v>17</v>
      </c>
    </row>
    <row r="26" spans="1:11" x14ac:dyDescent="0.25">
      <c r="A26" t="s">
        <v>26</v>
      </c>
      <c r="B26" s="21">
        <v>5.9760000000000004E+24</v>
      </c>
      <c r="C26" t="s">
        <v>25</v>
      </c>
    </row>
    <row r="27" spans="1:11" x14ac:dyDescent="0.25">
      <c r="A27" s="20" t="s">
        <v>211</v>
      </c>
      <c r="B27" s="1">
        <v>149600000</v>
      </c>
      <c r="C27" t="s">
        <v>0</v>
      </c>
      <c r="D27" s="15">
        <f>B27*1000</f>
        <v>149600000000</v>
      </c>
      <c r="E27" s="20" t="s">
        <v>13</v>
      </c>
      <c r="F27">
        <f>D27/Algemeen!B13</f>
        <v>1.5812732477008247E-5</v>
      </c>
      <c r="G27" s="20" t="s">
        <v>22</v>
      </c>
      <c r="H27" s="28">
        <f>F27*365.25*24*60</f>
        <v>8.316864773607259</v>
      </c>
      <c r="I27" s="20" t="s">
        <v>210</v>
      </c>
      <c r="K27" s="7" t="s">
        <v>20</v>
      </c>
    </row>
    <row r="28" spans="1:11" x14ac:dyDescent="0.25">
      <c r="A28" s="20" t="s">
        <v>181</v>
      </c>
      <c r="B28" s="1">
        <v>146000000</v>
      </c>
      <c r="C28" t="s">
        <v>0</v>
      </c>
      <c r="D28" s="15">
        <f t="shared" ref="D28:D30" si="0">B28*1000</f>
        <v>146000000000</v>
      </c>
      <c r="E28" s="20" t="s">
        <v>13</v>
      </c>
    </row>
    <row r="29" spans="1:11" x14ac:dyDescent="0.25">
      <c r="A29" s="20" t="s">
        <v>182</v>
      </c>
      <c r="B29" s="1">
        <v>152000000</v>
      </c>
      <c r="C29" t="s">
        <v>0</v>
      </c>
      <c r="D29" s="15">
        <f t="shared" si="0"/>
        <v>152000000000</v>
      </c>
      <c r="E29" s="20" t="s">
        <v>13</v>
      </c>
    </row>
    <row r="30" spans="1:11" x14ac:dyDescent="0.25">
      <c r="A30" s="20" t="s">
        <v>183</v>
      </c>
      <c r="B30" s="1">
        <f>2*PI()*B27</f>
        <v>939964521.95406616</v>
      </c>
      <c r="C30" t="s">
        <v>0</v>
      </c>
      <c r="D30" s="15">
        <f t="shared" si="0"/>
        <v>939964521954.06616</v>
      </c>
      <c r="E30" s="20" t="s">
        <v>13</v>
      </c>
    </row>
    <row r="31" spans="1:11" ht="15.6" x14ac:dyDescent="0.25">
      <c r="A31" t="s">
        <v>54</v>
      </c>
      <c r="B31" s="1">
        <v>5515</v>
      </c>
      <c r="C31" t="s">
        <v>55</v>
      </c>
    </row>
    <row r="32" spans="1:11" ht="15.6" x14ac:dyDescent="0.25">
      <c r="A32" t="s">
        <v>56</v>
      </c>
      <c r="B32">
        <v>9.81</v>
      </c>
      <c r="C32" t="s">
        <v>57</v>
      </c>
    </row>
    <row r="33" spans="1:9" x14ac:dyDescent="0.25">
      <c r="A33" t="s">
        <v>66</v>
      </c>
      <c r="B33">
        <v>24</v>
      </c>
      <c r="C33" t="s">
        <v>67</v>
      </c>
    </row>
    <row r="34" spans="1:9" x14ac:dyDescent="0.25">
      <c r="A34" t="s">
        <v>68</v>
      </c>
      <c r="B34" s="12">
        <f>23+56/60</f>
        <v>23.933333333333334</v>
      </c>
      <c r="C34" t="s">
        <v>67</v>
      </c>
      <c r="D34" t="s">
        <v>69</v>
      </c>
    </row>
    <row r="35" spans="1:9" x14ac:dyDescent="0.25">
      <c r="A35" t="s">
        <v>70</v>
      </c>
      <c r="B35" s="17">
        <f>365.256</f>
        <v>365.25599999999997</v>
      </c>
      <c r="C35" t="s">
        <v>28</v>
      </c>
    </row>
    <row r="36" spans="1:9" x14ac:dyDescent="0.25">
      <c r="A36" t="s">
        <v>71</v>
      </c>
      <c r="B36" s="1">
        <f>B22/B33</f>
        <v>1669.7931472972671</v>
      </c>
      <c r="C36" t="s">
        <v>5</v>
      </c>
    </row>
    <row r="37" spans="1:9" x14ac:dyDescent="0.25">
      <c r="A37" t="s">
        <v>72</v>
      </c>
      <c r="B37" s="35">
        <f>B30/B35/24</f>
        <v>107226.68050559815</v>
      </c>
      <c r="C37" t="s">
        <v>5</v>
      </c>
      <c r="D37" s="1">
        <f>B37*1000/3600</f>
        <v>29785.189029332822</v>
      </c>
      <c r="E37" s="20" t="s">
        <v>17</v>
      </c>
    </row>
    <row r="38" spans="1:9" ht="15.6" x14ac:dyDescent="0.25">
      <c r="A38" s="20" t="s">
        <v>186</v>
      </c>
      <c r="B38" s="36">
        <f>D38/1000*3600</f>
        <v>107501.5234315633</v>
      </c>
      <c r="C38" s="20" t="s">
        <v>5</v>
      </c>
      <c r="D38" s="1">
        <f>(B9*0.0000000000667/D12)^0.5</f>
        <v>29861.53428654536</v>
      </c>
      <c r="E38" s="20" t="s">
        <v>17</v>
      </c>
      <c r="G38" s="20"/>
      <c r="I38" s="20"/>
    </row>
    <row r="39" spans="1:9" x14ac:dyDescent="0.25">
      <c r="A39" t="s">
        <v>62</v>
      </c>
      <c r="B39">
        <f>23+27/60</f>
        <v>23.45</v>
      </c>
      <c r="C39" t="s">
        <v>63</v>
      </c>
      <c r="D39" s="20" t="s">
        <v>73</v>
      </c>
    </row>
    <row r="40" spans="1:9" x14ac:dyDescent="0.25">
      <c r="A40" t="s">
        <v>64</v>
      </c>
      <c r="B40">
        <v>57.7</v>
      </c>
      <c r="C40">
        <v>-89</v>
      </c>
      <c r="D40" t="s">
        <v>65</v>
      </c>
    </row>
    <row r="41" spans="1:9" x14ac:dyDescent="0.25">
      <c r="A41" t="s">
        <v>74</v>
      </c>
      <c r="B41">
        <v>287</v>
      </c>
      <c r="C41" t="s">
        <v>75</v>
      </c>
      <c r="D41">
        <f>B41-273</f>
        <v>14</v>
      </c>
      <c r="E41" t="s">
        <v>65</v>
      </c>
    </row>
    <row r="42" spans="1:9" x14ac:dyDescent="0.25">
      <c r="A42" t="s">
        <v>76</v>
      </c>
      <c r="B42">
        <v>101.325</v>
      </c>
      <c r="C42" t="s">
        <v>77</v>
      </c>
    </row>
    <row r="43" spans="1:9" ht="15.6" x14ac:dyDescent="0.35">
      <c r="A43" t="s">
        <v>78</v>
      </c>
      <c r="B43" s="22">
        <v>0.77</v>
      </c>
      <c r="C43" t="s">
        <v>79</v>
      </c>
    </row>
    <row r="44" spans="1:9" ht="15.6" x14ac:dyDescent="0.35">
      <c r="B44" s="22">
        <v>0.21</v>
      </c>
      <c r="C44" t="s">
        <v>80</v>
      </c>
    </row>
    <row r="45" spans="1:9" x14ac:dyDescent="0.25">
      <c r="B45" s="22">
        <v>0.02</v>
      </c>
      <c r="C45" t="s">
        <v>81</v>
      </c>
    </row>
    <row r="48" spans="1:9" ht="15.6" x14ac:dyDescent="0.3">
      <c r="A48" s="19" t="s">
        <v>177</v>
      </c>
      <c r="B48" s="7" t="s">
        <v>30</v>
      </c>
    </row>
    <row r="50" spans="1:7" x14ac:dyDescent="0.25">
      <c r="A50" s="20" t="s">
        <v>213</v>
      </c>
      <c r="B50" s="1">
        <v>3474.8</v>
      </c>
      <c r="C50" t="s">
        <v>0</v>
      </c>
      <c r="D50" s="20"/>
    </row>
    <row r="51" spans="1:7" x14ac:dyDescent="0.25">
      <c r="A51" t="s">
        <v>51</v>
      </c>
      <c r="B51" s="1">
        <f>PI()*B50</f>
        <v>10916.406152693813</v>
      </c>
      <c r="C51" t="s">
        <v>0</v>
      </c>
    </row>
    <row r="52" spans="1:7" x14ac:dyDescent="0.25">
      <c r="A52" s="20" t="s">
        <v>192</v>
      </c>
      <c r="B52" s="1">
        <f>4*PI()*(B50/2)^2</f>
        <v>37932328.099380463</v>
      </c>
      <c r="C52" s="20" t="s">
        <v>193</v>
      </c>
    </row>
    <row r="53" spans="1:7" x14ac:dyDescent="0.25">
      <c r="A53" s="20" t="s">
        <v>114</v>
      </c>
      <c r="B53" s="16">
        <f>4/3*PI()*(B50/2)^3</f>
        <v>21967875613.287872</v>
      </c>
      <c r="C53" s="20" t="s">
        <v>190</v>
      </c>
    </row>
    <row r="54" spans="1:7" x14ac:dyDescent="0.25">
      <c r="A54" t="s">
        <v>26</v>
      </c>
      <c r="B54" s="16">
        <v>7.3489999999999999E+22</v>
      </c>
      <c r="C54" t="s">
        <v>25</v>
      </c>
    </row>
    <row r="55" spans="1:7" x14ac:dyDescent="0.25">
      <c r="A55" s="20" t="s">
        <v>212</v>
      </c>
      <c r="B55" s="1">
        <v>384400</v>
      </c>
      <c r="C55" t="s">
        <v>0</v>
      </c>
      <c r="D55" s="16">
        <f>B55*1000</f>
        <v>384400000</v>
      </c>
      <c r="E55" s="20" t="s">
        <v>13</v>
      </c>
    </row>
    <row r="56" spans="1:7" x14ac:dyDescent="0.25">
      <c r="A56" t="s">
        <v>53</v>
      </c>
      <c r="B56" s="1">
        <f>2*PI()*B55</f>
        <v>2415256.432079833</v>
      </c>
      <c r="C56" t="s">
        <v>0</v>
      </c>
    </row>
    <row r="57" spans="1:7" ht="15.6" x14ac:dyDescent="0.25">
      <c r="A57" t="s">
        <v>54</v>
      </c>
      <c r="B57" s="1">
        <v>3340</v>
      </c>
      <c r="C57" t="s">
        <v>55</v>
      </c>
    </row>
    <row r="58" spans="1:7" ht="15.6" x14ac:dyDescent="0.25">
      <c r="A58" t="s">
        <v>56</v>
      </c>
      <c r="B58">
        <v>1.62</v>
      </c>
      <c r="C58" t="s">
        <v>57</v>
      </c>
    </row>
    <row r="59" spans="1:7" x14ac:dyDescent="0.25">
      <c r="A59" t="s">
        <v>58</v>
      </c>
      <c r="B59">
        <v>27.321660000000001</v>
      </c>
      <c r="C59" t="s">
        <v>28</v>
      </c>
    </row>
    <row r="60" spans="1:7" x14ac:dyDescent="0.25">
      <c r="A60" t="s">
        <v>59</v>
      </c>
      <c r="B60">
        <v>27.321660000000001</v>
      </c>
      <c r="C60" t="s">
        <v>28</v>
      </c>
    </row>
    <row r="61" spans="1:7" x14ac:dyDescent="0.25">
      <c r="A61" t="s">
        <v>60</v>
      </c>
      <c r="B61" s="1">
        <f>B51/B59</f>
        <v>399.55135056558834</v>
      </c>
      <c r="C61" t="s">
        <v>5</v>
      </c>
    </row>
    <row r="62" spans="1:7" x14ac:dyDescent="0.25">
      <c r="A62" t="s">
        <v>61</v>
      </c>
      <c r="B62" s="35">
        <f>B56/B60/24</f>
        <v>3683.36640855618</v>
      </c>
      <c r="C62" t="s">
        <v>5</v>
      </c>
      <c r="D62" s="1">
        <f>B62*1000/3600</f>
        <v>1023.15733571005</v>
      </c>
      <c r="E62" s="20" t="s">
        <v>17</v>
      </c>
    </row>
    <row r="63" spans="1:7" ht="15.6" x14ac:dyDescent="0.25">
      <c r="A63" s="20" t="s">
        <v>184</v>
      </c>
      <c r="B63" s="36">
        <f>D63/1000*3600</f>
        <v>3665.886567915617</v>
      </c>
      <c r="C63" s="20" t="s">
        <v>5</v>
      </c>
      <c r="D63" s="1">
        <f>(B26*0.0000000000667/D55)^0.5</f>
        <v>1018.3018244210048</v>
      </c>
      <c r="E63" s="20" t="s">
        <v>17</v>
      </c>
      <c r="G63" s="20"/>
    </row>
    <row r="64" spans="1:7" x14ac:dyDescent="0.25">
      <c r="A64" t="s">
        <v>62</v>
      </c>
      <c r="B64" s="20">
        <v>1.5424</v>
      </c>
      <c r="C64" t="s">
        <v>63</v>
      </c>
      <c r="D64" s="20"/>
    </row>
    <row r="65" spans="1:7" x14ac:dyDescent="0.25">
      <c r="A65" t="s">
        <v>64</v>
      </c>
      <c r="B65">
        <v>123</v>
      </c>
      <c r="C65">
        <v>-233</v>
      </c>
      <c r="D65" t="s">
        <v>65</v>
      </c>
    </row>
    <row r="69" spans="1:7" ht="15.6" x14ac:dyDescent="0.3">
      <c r="A69" s="19" t="s">
        <v>176</v>
      </c>
      <c r="B69" s="7" t="s">
        <v>178</v>
      </c>
    </row>
    <row r="71" spans="1:7" x14ac:dyDescent="0.25">
      <c r="A71" s="20" t="s">
        <v>198</v>
      </c>
    </row>
    <row r="72" spans="1:7" x14ac:dyDescent="0.25">
      <c r="A72" s="20" t="s">
        <v>179</v>
      </c>
      <c r="B72" s="1">
        <v>57909175</v>
      </c>
      <c r="C72" s="20" t="s">
        <v>0</v>
      </c>
      <c r="D72" s="15">
        <f>B72*1000</f>
        <v>57909175000</v>
      </c>
      <c r="E72" s="20" t="s">
        <v>13</v>
      </c>
    </row>
    <row r="73" spans="1:7" x14ac:dyDescent="0.25">
      <c r="A73" s="20" t="s">
        <v>181</v>
      </c>
      <c r="B73" s="1">
        <v>46000000</v>
      </c>
      <c r="C73" s="20" t="s">
        <v>0</v>
      </c>
      <c r="D73" s="15">
        <f t="shared" ref="D73:D74" si="1">B73*1000</f>
        <v>46000000000</v>
      </c>
      <c r="E73" s="20" t="s">
        <v>13</v>
      </c>
    </row>
    <row r="74" spans="1:7" x14ac:dyDescent="0.25">
      <c r="A74" s="20" t="s">
        <v>182</v>
      </c>
      <c r="B74" s="1">
        <v>69820000</v>
      </c>
      <c r="C74" s="20" t="s">
        <v>0</v>
      </c>
      <c r="D74" s="15">
        <f t="shared" si="1"/>
        <v>69820000000</v>
      </c>
      <c r="E74" s="20" t="s">
        <v>13</v>
      </c>
    </row>
    <row r="75" spans="1:7" x14ac:dyDescent="0.25">
      <c r="A75" s="20" t="s">
        <v>196</v>
      </c>
      <c r="B75" s="33">
        <v>356000000</v>
      </c>
      <c r="C75" s="20" t="s">
        <v>0</v>
      </c>
      <c r="D75" s="15">
        <f>2*PI()*D73</f>
        <v>289026524130.26099</v>
      </c>
      <c r="E75" s="20" t="s">
        <v>13</v>
      </c>
    </row>
    <row r="76" spans="1:7" x14ac:dyDescent="0.25">
      <c r="A76" s="20" t="s">
        <v>197</v>
      </c>
      <c r="B76" s="34">
        <f>2*PI()*B72</f>
        <v>363854077.51089144</v>
      </c>
      <c r="C76" s="20" t="s">
        <v>0</v>
      </c>
      <c r="D76" s="15">
        <f>2*PI()*D72</f>
        <v>363854077510.89142</v>
      </c>
      <c r="E76" s="20" t="s">
        <v>13</v>
      </c>
    </row>
    <row r="77" spans="1:7" x14ac:dyDescent="0.25">
      <c r="A77" s="20" t="s">
        <v>199</v>
      </c>
      <c r="B77" s="35">
        <v>172341</v>
      </c>
      <c r="C77" s="20" t="s">
        <v>5</v>
      </c>
      <c r="D77" s="1">
        <f>B77*1000/3600</f>
        <v>47872.5</v>
      </c>
      <c r="E77" s="20" t="s">
        <v>17</v>
      </c>
    </row>
    <row r="78" spans="1:7" ht="15.6" x14ac:dyDescent="0.25">
      <c r="A78" s="20" t="s">
        <v>185</v>
      </c>
      <c r="B78" s="36">
        <f>D78/1000*3600</f>
        <v>172785.27424479276</v>
      </c>
      <c r="C78" s="20" t="s">
        <v>5</v>
      </c>
      <c r="D78" s="1">
        <f>(B9*0.0000000000667/D72)^0.5</f>
        <v>47995.909512442428</v>
      </c>
      <c r="E78" s="20" t="s">
        <v>17</v>
      </c>
      <c r="F78" s="20"/>
      <c r="G78" s="20"/>
    </row>
    <row r="79" spans="1:7" x14ac:dyDescent="0.25">
      <c r="A79" s="20" t="s">
        <v>26</v>
      </c>
      <c r="B79" s="21">
        <v>3.3022E+23</v>
      </c>
      <c r="C79" s="20" t="s">
        <v>25</v>
      </c>
    </row>
    <row r="80" spans="1:7" x14ac:dyDescent="0.25">
      <c r="A80" s="20" t="s">
        <v>187</v>
      </c>
      <c r="B80" s="1">
        <v>2439.6999999999998</v>
      </c>
      <c r="C80" s="20" t="s">
        <v>0</v>
      </c>
    </row>
    <row r="81" spans="1:5" x14ac:dyDescent="0.25">
      <c r="A81" s="20" t="s">
        <v>188</v>
      </c>
      <c r="B81" s="37">
        <v>15329.1</v>
      </c>
      <c r="C81" s="20" t="s">
        <v>0</v>
      </c>
    </row>
    <row r="82" spans="1:5" x14ac:dyDescent="0.25">
      <c r="A82" s="20" t="s">
        <v>189</v>
      </c>
      <c r="B82" s="34">
        <f>2*PI()*B80</f>
        <v>15329.087193926036</v>
      </c>
      <c r="C82" s="20" t="s">
        <v>0</v>
      </c>
    </row>
    <row r="83" spans="1:5" x14ac:dyDescent="0.25">
      <c r="A83" s="20" t="s">
        <v>114</v>
      </c>
      <c r="B83" s="38">
        <v>60827200000</v>
      </c>
      <c r="C83" s="20" t="s">
        <v>190</v>
      </c>
    </row>
    <row r="84" spans="1:5" x14ac:dyDescent="0.25">
      <c r="A84" s="20" t="s">
        <v>191</v>
      </c>
      <c r="B84" s="39">
        <f>4/3*PI()*B80^3</f>
        <v>60827208742.482643</v>
      </c>
      <c r="C84" s="20" t="s">
        <v>190</v>
      </c>
    </row>
    <row r="85" spans="1:5" x14ac:dyDescent="0.25">
      <c r="A85" s="20" t="s">
        <v>192</v>
      </c>
      <c r="B85" s="37">
        <v>74800000</v>
      </c>
      <c r="C85" s="20" t="s">
        <v>193</v>
      </c>
    </row>
    <row r="86" spans="1:5" x14ac:dyDescent="0.25">
      <c r="A86" s="20" t="s">
        <v>194</v>
      </c>
      <c r="B86" s="34">
        <f>4*PI()*B80^2</f>
        <v>74796748.054042682</v>
      </c>
      <c r="C86" s="20" t="s">
        <v>193</v>
      </c>
    </row>
    <row r="87" spans="1:5" x14ac:dyDescent="0.25">
      <c r="A87" s="20" t="s">
        <v>195</v>
      </c>
      <c r="B87" s="17">
        <f>B76/B77/24</f>
        <v>87.968542383726515</v>
      </c>
      <c r="C87" s="20" t="s">
        <v>200</v>
      </c>
    </row>
    <row r="89" spans="1:5" x14ac:dyDescent="0.25">
      <c r="A89" s="20" t="s">
        <v>201</v>
      </c>
      <c r="B89" s="1">
        <f>2*PI()*B73*(43/3600/360)</f>
        <v>9589.6146123466206</v>
      </c>
      <c r="C89" s="20" t="s">
        <v>0</v>
      </c>
      <c r="D89" s="12">
        <f>B89/$B$21</f>
        <v>0.75175635940467123</v>
      </c>
      <c r="E89" s="20" t="s">
        <v>202</v>
      </c>
    </row>
    <row r="93" spans="1:5" s="44" customFormat="1" ht="15.6" x14ac:dyDescent="0.3">
      <c r="A93" s="19" t="s">
        <v>217</v>
      </c>
      <c r="B93" s="45" t="s">
        <v>218</v>
      </c>
    </row>
    <row r="95" spans="1:5" x14ac:dyDescent="0.25">
      <c r="A95" s="20" t="s">
        <v>50</v>
      </c>
      <c r="B95">
        <f>850*B6*1000</f>
        <v>1190000000000</v>
      </c>
      <c r="C95" s="20" t="s">
        <v>13</v>
      </c>
    </row>
    <row r="96" spans="1:5" x14ac:dyDescent="0.25">
      <c r="A96" s="20" t="s">
        <v>220</v>
      </c>
      <c r="B96">
        <f>B95/(B6*1000)</f>
        <v>850</v>
      </c>
      <c r="C96" s="20"/>
    </row>
    <row r="97" spans="1:3" x14ac:dyDescent="0.25">
      <c r="A97" s="20" t="s">
        <v>221</v>
      </c>
      <c r="B97" s="18">
        <f>B95/D21</f>
        <v>93287.384723446026</v>
      </c>
      <c r="C97" s="20"/>
    </row>
    <row r="98" spans="1:3" x14ac:dyDescent="0.25">
      <c r="A98" s="20" t="s">
        <v>26</v>
      </c>
      <c r="B98" s="46">
        <f>12.4*B9</f>
        <v>2.4800000000000003E+31</v>
      </c>
      <c r="C98" s="20" t="s">
        <v>25</v>
      </c>
    </row>
    <row r="99" spans="1:3" x14ac:dyDescent="0.25">
      <c r="A99" s="20" t="s">
        <v>222</v>
      </c>
      <c r="B99">
        <f>B98/B9</f>
        <v>12.4</v>
      </c>
    </row>
    <row r="100" spans="1:3" x14ac:dyDescent="0.25">
      <c r="A100" s="20" t="s">
        <v>223</v>
      </c>
      <c r="B100">
        <f>B98/B54</f>
        <v>337460879.03116071</v>
      </c>
    </row>
  </sheetData>
  <phoneticPr fontId="3" type="noConversion"/>
  <hyperlinks>
    <hyperlink ref="A5" r:id="rId1"/>
    <hyperlink ref="B69" r:id="rId2"/>
    <hyperlink ref="E19" r:id="rId3"/>
    <hyperlink ref="K27" r:id="rId4"/>
    <hyperlink ref="B48" r:id="rId5"/>
    <hyperlink ref="B93" r:id="rId6"/>
  </hyperlinks>
  <pageMargins left="0.75" right="0.75" top="1" bottom="1" header="0.5" footer="0.5"/>
  <pageSetup paperSize="9" orientation="portrait"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Normal="100" workbookViewId="0"/>
  </sheetViews>
  <sheetFormatPr defaultRowHeight="13.2" x14ac:dyDescent="0.25"/>
  <cols>
    <col min="1" max="1" width="13.6640625" customWidth="1"/>
    <col min="2" max="2" width="27.6640625" customWidth="1"/>
    <col min="3" max="3" width="10.44140625" bestFit="1" customWidth="1"/>
    <col min="4" max="4" width="12.44140625" bestFit="1" customWidth="1"/>
  </cols>
  <sheetData>
    <row r="1" spans="1:4" ht="17.399999999999999" x14ac:dyDescent="0.3">
      <c r="A1" s="13" t="s">
        <v>94</v>
      </c>
    </row>
    <row r="2" spans="1:4" x14ac:dyDescent="0.25">
      <c r="A2" s="3" t="s">
        <v>171</v>
      </c>
    </row>
    <row r="5" spans="1:4" x14ac:dyDescent="0.25">
      <c r="A5" s="6" t="s">
        <v>97</v>
      </c>
    </row>
    <row r="6" spans="1:4" ht="16.8" x14ac:dyDescent="0.35">
      <c r="A6" s="6" t="s">
        <v>106</v>
      </c>
    </row>
    <row r="7" spans="1:4" ht="15.6" x14ac:dyDescent="0.25">
      <c r="A7" s="6" t="s">
        <v>99</v>
      </c>
      <c r="B7" s="6" t="s">
        <v>173</v>
      </c>
      <c r="C7" s="16">
        <v>6.67E-11</v>
      </c>
      <c r="D7" s="6" t="s">
        <v>164</v>
      </c>
    </row>
    <row r="8" spans="1:4" ht="15.6" x14ac:dyDescent="0.35">
      <c r="A8" s="6" t="s">
        <v>100</v>
      </c>
      <c r="B8" s="6" t="s">
        <v>167</v>
      </c>
    </row>
    <row r="9" spans="1:4" ht="15.6" x14ac:dyDescent="0.35">
      <c r="A9" s="6" t="s">
        <v>101</v>
      </c>
      <c r="B9" s="6" t="s">
        <v>166</v>
      </c>
    </row>
    <row r="10" spans="1:4" x14ac:dyDescent="0.25">
      <c r="A10" s="6" t="s">
        <v>169</v>
      </c>
      <c r="B10" s="6" t="s">
        <v>168</v>
      </c>
    </row>
    <row r="11" spans="1:4" ht="15.6" x14ac:dyDescent="0.25">
      <c r="A11" s="6" t="s">
        <v>102</v>
      </c>
      <c r="B11" s="6" t="s">
        <v>165</v>
      </c>
    </row>
    <row r="12" spans="1:4" x14ac:dyDescent="0.25">
      <c r="A12" s="6"/>
      <c r="B12" s="24"/>
    </row>
    <row r="13" spans="1:4" x14ac:dyDescent="0.25">
      <c r="A13" s="6"/>
      <c r="B13" s="24"/>
    </row>
    <row r="14" spans="1:4" x14ac:dyDescent="0.25">
      <c r="A14" s="6"/>
      <c r="B14" s="24"/>
    </row>
    <row r="15" spans="1:4" x14ac:dyDescent="0.25">
      <c r="A15" s="6"/>
      <c r="B15" s="24"/>
    </row>
    <row r="16" spans="1:4" x14ac:dyDescent="0.25">
      <c r="A16" s="6"/>
      <c r="B16" s="24"/>
    </row>
    <row r="17" spans="1:4" x14ac:dyDescent="0.25">
      <c r="A17" s="6"/>
      <c r="B17" s="24"/>
    </row>
    <row r="18" spans="1:4" x14ac:dyDescent="0.25">
      <c r="A18" s="6"/>
      <c r="B18" s="24"/>
    </row>
    <row r="20" spans="1:4" ht="15.6" x14ac:dyDescent="0.35">
      <c r="A20" s="6" t="s">
        <v>103</v>
      </c>
    </row>
    <row r="21" spans="1:4" ht="16.8" x14ac:dyDescent="0.35">
      <c r="A21" s="6" t="s">
        <v>104</v>
      </c>
    </row>
    <row r="22" spans="1:4" ht="16.8" x14ac:dyDescent="0.35">
      <c r="A22" s="6" t="s">
        <v>105</v>
      </c>
    </row>
    <row r="23" spans="1:4" ht="16.8" x14ac:dyDescent="0.35">
      <c r="A23" s="3" t="s">
        <v>112</v>
      </c>
      <c r="B23" t="s">
        <v>170</v>
      </c>
    </row>
    <row r="26" spans="1:4" x14ac:dyDescent="0.25">
      <c r="A26" s="25" t="s">
        <v>113</v>
      </c>
      <c r="B26" s="26"/>
      <c r="C26" s="26"/>
      <c r="D26" s="26"/>
    </row>
    <row r="27" spans="1:4" ht="16.8" x14ac:dyDescent="0.35">
      <c r="A27" s="6" t="s">
        <v>107</v>
      </c>
    </row>
    <row r="28" spans="1:4" x14ac:dyDescent="0.25">
      <c r="A28" s="6" t="s">
        <v>109</v>
      </c>
      <c r="B28" s="6" t="s">
        <v>4</v>
      </c>
      <c r="C28" s="12">
        <f>Hemelliggame!D37</f>
        <v>29785.189029332822</v>
      </c>
      <c r="D28" s="6" t="s">
        <v>17</v>
      </c>
    </row>
    <row r="29" spans="1:4" x14ac:dyDescent="0.25">
      <c r="A29" s="6" t="s">
        <v>110</v>
      </c>
      <c r="B29" s="6" t="s">
        <v>98</v>
      </c>
      <c r="C29">
        <f>Hemelliggame!D27</f>
        <v>149600000000</v>
      </c>
      <c r="D29" s="6" t="s">
        <v>13</v>
      </c>
    </row>
    <row r="30" spans="1:4" ht="15.6" x14ac:dyDescent="0.35">
      <c r="A30" s="6" t="s">
        <v>108</v>
      </c>
      <c r="B30" s="6" t="s">
        <v>111</v>
      </c>
      <c r="C30" s="16">
        <f>C28^2*C29/C7</f>
        <v>1.9897865042392502E+30</v>
      </c>
      <c r="D30" s="6" t="s">
        <v>25</v>
      </c>
    </row>
    <row r="35" spans="1:4" x14ac:dyDescent="0.25">
      <c r="A35" s="20" t="s">
        <v>203</v>
      </c>
    </row>
    <row r="37" spans="1:4" x14ac:dyDescent="0.25">
      <c r="A37" s="40" t="s">
        <v>204</v>
      </c>
      <c r="B37" s="40" t="s">
        <v>205</v>
      </c>
      <c r="C37" s="40" t="s">
        <v>207</v>
      </c>
      <c r="D37" s="40" t="s">
        <v>206</v>
      </c>
    </row>
    <row r="38" spans="1:4" x14ac:dyDescent="0.25">
      <c r="A38" s="16">
        <v>9.9999999999999997E+34</v>
      </c>
      <c r="B38" s="16">
        <f>300000000*60*60*24*365.25*C38</f>
        <v>946728000000000</v>
      </c>
      <c r="C38" s="42">
        <v>0.1</v>
      </c>
      <c r="D38" s="41">
        <f>(0.0000000000667*A38/B38)^0.5</f>
        <v>83936.393719604355</v>
      </c>
    </row>
    <row r="39" spans="1:4" x14ac:dyDescent="0.25">
      <c r="A39" s="16">
        <v>9.9999999999999997E+34</v>
      </c>
      <c r="B39" s="16">
        <f>300000000*60*60*24*365.25*C39</f>
        <v>2366820000000000</v>
      </c>
      <c r="C39" s="42">
        <v>0.25</v>
      </c>
      <c r="D39" s="41">
        <f>(0.0000000000667*A39/B39)^0.5</f>
        <v>53086.036546920455</v>
      </c>
    </row>
    <row r="40" spans="1:4" x14ac:dyDescent="0.25">
      <c r="A40" s="16">
        <v>9.9999999999999997E+34</v>
      </c>
      <c r="B40" s="16">
        <f>300000000*60*60*24*365.25*C40</f>
        <v>4733640000000000</v>
      </c>
      <c r="C40" s="42">
        <v>0.5</v>
      </c>
      <c r="D40" s="41">
        <f>(0.0000000000667*A40/B40)^0.5</f>
        <v>37537.49642864435</v>
      </c>
    </row>
    <row r="41" spans="1:4" x14ac:dyDescent="0.25">
      <c r="A41" s="16">
        <v>9.9999999999999997E+34</v>
      </c>
      <c r="B41" s="16">
        <f t="shared" ref="B41:B50" si="0">300000000*60*60*24*365.25*C41</f>
        <v>9467280000000000</v>
      </c>
      <c r="C41" s="42">
        <v>1</v>
      </c>
      <c r="D41" s="41">
        <f>(0.0000000000667*A41/B41)^0.5</f>
        <v>26543.018273460228</v>
      </c>
    </row>
    <row r="42" spans="1:4" x14ac:dyDescent="0.25">
      <c r="A42" s="16">
        <f>A40</f>
        <v>9.9999999999999997E+34</v>
      </c>
      <c r="B42" s="16">
        <f t="shared" si="0"/>
        <v>1.893456E+16</v>
      </c>
      <c r="C42" s="42">
        <f>C41+1</f>
        <v>2</v>
      </c>
      <c r="D42" s="41">
        <f>(0.0000000000667*A42/B42)^0.5</f>
        <v>18768.748214322175</v>
      </c>
    </row>
    <row r="43" spans="1:4" x14ac:dyDescent="0.25">
      <c r="A43" s="16">
        <f t="shared" ref="A43:A50" si="1">A42</f>
        <v>9.9999999999999997E+34</v>
      </c>
      <c r="B43" s="16">
        <f t="shared" si="0"/>
        <v>2.840184E+16</v>
      </c>
      <c r="C43" s="42">
        <f t="shared" ref="C43:C50" si="2">C42+1</f>
        <v>3</v>
      </c>
      <c r="D43" s="41">
        <f t="shared" ref="D43:D50" si="3">(0.0000000000667*A43/B43)^0.5</f>
        <v>15324.618745287418</v>
      </c>
    </row>
    <row r="44" spans="1:4" x14ac:dyDescent="0.25">
      <c r="A44" s="16">
        <f t="shared" si="1"/>
        <v>9.9999999999999997E+34</v>
      </c>
      <c r="B44" s="16">
        <f t="shared" si="0"/>
        <v>3.786912E+16</v>
      </c>
      <c r="C44" s="42">
        <f t="shared" si="2"/>
        <v>4</v>
      </c>
      <c r="D44" s="41">
        <f t="shared" si="3"/>
        <v>13271.509136730114</v>
      </c>
    </row>
    <row r="45" spans="1:4" x14ac:dyDescent="0.25">
      <c r="A45" s="16">
        <f t="shared" si="1"/>
        <v>9.9999999999999997E+34</v>
      </c>
      <c r="B45" s="16">
        <f t="shared" si="0"/>
        <v>4.73364E+16</v>
      </c>
      <c r="C45" s="42">
        <f t="shared" si="2"/>
        <v>5</v>
      </c>
      <c r="D45" s="41">
        <f t="shared" si="3"/>
        <v>11870.398637495235</v>
      </c>
    </row>
    <row r="46" spans="1:4" x14ac:dyDescent="0.25">
      <c r="A46" s="16">
        <f t="shared" si="1"/>
        <v>9.9999999999999997E+34</v>
      </c>
      <c r="B46" s="16">
        <f t="shared" si="0"/>
        <v>5.680368E+16</v>
      </c>
      <c r="C46" s="42">
        <f t="shared" si="2"/>
        <v>6</v>
      </c>
      <c r="D46" s="41">
        <f t="shared" si="3"/>
        <v>10836.141833891215</v>
      </c>
    </row>
    <row r="47" spans="1:4" x14ac:dyDescent="0.25">
      <c r="A47" s="16">
        <f t="shared" si="1"/>
        <v>9.9999999999999997E+34</v>
      </c>
      <c r="B47" s="16">
        <f t="shared" si="0"/>
        <v>6.627096E+16</v>
      </c>
      <c r="C47" s="42">
        <f t="shared" si="2"/>
        <v>7</v>
      </c>
      <c r="D47" s="41">
        <f t="shared" si="3"/>
        <v>10032.317913802684</v>
      </c>
    </row>
    <row r="48" spans="1:4" x14ac:dyDescent="0.25">
      <c r="A48" s="16">
        <f t="shared" si="1"/>
        <v>9.9999999999999997E+34</v>
      </c>
      <c r="B48" s="16">
        <f t="shared" si="0"/>
        <v>7.573824E+16</v>
      </c>
      <c r="C48" s="42">
        <f t="shared" si="2"/>
        <v>8</v>
      </c>
      <c r="D48" s="41">
        <f t="shared" si="3"/>
        <v>9384.3741071610875</v>
      </c>
    </row>
    <row r="49" spans="1:4" x14ac:dyDescent="0.25">
      <c r="A49" s="16">
        <f t="shared" si="1"/>
        <v>9.9999999999999997E+34</v>
      </c>
      <c r="B49" s="16">
        <f t="shared" si="0"/>
        <v>8.520552E+16</v>
      </c>
      <c r="C49" s="42">
        <f t="shared" si="2"/>
        <v>9</v>
      </c>
      <c r="D49" s="41">
        <f t="shared" si="3"/>
        <v>8847.6727578200753</v>
      </c>
    </row>
    <row r="50" spans="1:4" x14ac:dyDescent="0.25">
      <c r="A50" s="16">
        <f t="shared" si="1"/>
        <v>9.9999999999999997E+34</v>
      </c>
      <c r="B50" s="16">
        <f t="shared" si="0"/>
        <v>9.46728E+16</v>
      </c>
      <c r="C50" s="42">
        <f t="shared" si="2"/>
        <v>10</v>
      </c>
      <c r="D50" s="41">
        <f t="shared" si="3"/>
        <v>8393.6393719604348</v>
      </c>
    </row>
  </sheetData>
  <pageMargins left="0.70866141732283472" right="0.70866141732283472"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zoomScaleNormal="100" workbookViewId="0"/>
  </sheetViews>
  <sheetFormatPr defaultRowHeight="13.2" x14ac:dyDescent="0.25"/>
  <cols>
    <col min="1" max="1" width="28.88671875" customWidth="1"/>
    <col min="2" max="2" width="9.109375" customWidth="1"/>
    <col min="4" max="4" width="38.88671875" bestFit="1" customWidth="1"/>
  </cols>
  <sheetData>
    <row r="1" spans="1:4" ht="17.399999999999999" x14ac:dyDescent="0.3">
      <c r="A1" s="13" t="s">
        <v>160</v>
      </c>
    </row>
    <row r="2" spans="1:4" ht="51" customHeight="1" x14ac:dyDescent="0.25">
      <c r="A2" s="47" t="s">
        <v>172</v>
      </c>
      <c r="B2" s="48"/>
      <c r="C2" s="48"/>
      <c r="D2" s="48"/>
    </row>
    <row r="3" spans="1:4" x14ac:dyDescent="0.25">
      <c r="A3" s="7" t="s">
        <v>180</v>
      </c>
    </row>
    <row r="16" spans="1:4" ht="13.8" x14ac:dyDescent="0.25">
      <c r="A16" s="29" t="s">
        <v>151</v>
      </c>
      <c r="B16" s="26"/>
      <c r="C16" s="26"/>
      <c r="D16" s="26"/>
    </row>
    <row r="18" spans="1:4" x14ac:dyDescent="0.25">
      <c r="A18" s="3" t="s">
        <v>123</v>
      </c>
    </row>
    <row r="19" spans="1:4" x14ac:dyDescent="0.25">
      <c r="A19" s="6" t="s">
        <v>124</v>
      </c>
      <c r="B19" s="16">
        <f>Hemelliggame!B6/2*1000</f>
        <v>700000000</v>
      </c>
      <c r="C19" t="s">
        <v>13</v>
      </c>
    </row>
    <row r="20" spans="1:4" x14ac:dyDescent="0.25">
      <c r="A20" s="6" t="s">
        <v>125</v>
      </c>
      <c r="B20" s="16">
        <f>Hemelliggame!B21/2*1000</f>
        <v>6378140</v>
      </c>
      <c r="C20" t="s">
        <v>13</v>
      </c>
    </row>
    <row r="21" spans="1:4" x14ac:dyDescent="0.25">
      <c r="A21" s="6" t="s">
        <v>126</v>
      </c>
      <c r="B21" s="16">
        <f>Hemelliggame!B50/2*1000</f>
        <v>1737400</v>
      </c>
      <c r="C21" t="s">
        <v>13</v>
      </c>
    </row>
    <row r="22" spans="1:4" x14ac:dyDescent="0.25">
      <c r="A22" s="3" t="s">
        <v>141</v>
      </c>
    </row>
    <row r="23" spans="1:4" x14ac:dyDescent="0.25">
      <c r="A23" s="6" t="s">
        <v>127</v>
      </c>
      <c r="B23" s="16">
        <f>Hemelliggame!B12*1000</f>
        <v>149600000000</v>
      </c>
      <c r="C23" t="s">
        <v>13</v>
      </c>
    </row>
    <row r="24" spans="1:4" x14ac:dyDescent="0.25">
      <c r="A24" s="6" t="s">
        <v>128</v>
      </c>
      <c r="B24" s="16">
        <f>Hemelliggame!B55*1000</f>
        <v>384400000</v>
      </c>
      <c r="C24" t="s">
        <v>13</v>
      </c>
    </row>
    <row r="27" spans="1:4" ht="13.8" x14ac:dyDescent="0.25">
      <c r="A27" s="29" t="s">
        <v>135</v>
      </c>
      <c r="B27" s="26"/>
      <c r="C27" s="26"/>
      <c r="D27" s="26"/>
    </row>
    <row r="28" spans="1:4" x14ac:dyDescent="0.25">
      <c r="A28" s="6" t="s">
        <v>134</v>
      </c>
      <c r="B28" s="16">
        <f>B23 - B24</f>
        <v>149215600000</v>
      </c>
      <c r="C28" s="6" t="s">
        <v>13</v>
      </c>
      <c r="D28" s="6" t="s">
        <v>139</v>
      </c>
    </row>
    <row r="29" spans="1:4" x14ac:dyDescent="0.25">
      <c r="A29" s="6" t="s">
        <v>136</v>
      </c>
      <c r="B29" s="16">
        <f>B21/2</f>
        <v>868700</v>
      </c>
      <c r="C29" s="6" t="s">
        <v>137</v>
      </c>
      <c r="D29" s="6" t="s">
        <v>138</v>
      </c>
    </row>
    <row r="30" spans="1:4" x14ac:dyDescent="0.25">
      <c r="A30" s="6" t="s">
        <v>130</v>
      </c>
      <c r="B30" s="16">
        <f>B19/2</f>
        <v>350000000</v>
      </c>
      <c r="C30" s="6" t="s">
        <v>13</v>
      </c>
      <c r="D30" s="6" t="s">
        <v>132</v>
      </c>
    </row>
    <row r="31" spans="1:4" x14ac:dyDescent="0.25">
      <c r="A31" s="6"/>
      <c r="B31" s="16"/>
      <c r="C31" s="6"/>
      <c r="D31" s="6"/>
    </row>
    <row r="32" spans="1:4" x14ac:dyDescent="0.25">
      <c r="A32" s="3" t="s">
        <v>149</v>
      </c>
      <c r="B32" s="16"/>
      <c r="C32" s="6"/>
      <c r="D32" s="6"/>
    </row>
    <row r="33" spans="1:4" x14ac:dyDescent="0.25">
      <c r="A33" s="6" t="s">
        <v>146</v>
      </c>
      <c r="B33" s="28">
        <f>ASIN((B30-B29)/B28)</f>
        <v>2.3397796112297501E-3</v>
      </c>
      <c r="C33" s="6" t="s">
        <v>142</v>
      </c>
      <c r="D33" s="6" t="s">
        <v>148</v>
      </c>
    </row>
    <row r="34" spans="1:4" x14ac:dyDescent="0.25">
      <c r="A34" s="6"/>
      <c r="B34" s="28">
        <f>B33*180/PI()</f>
        <v>0.13405949671422523</v>
      </c>
      <c r="C34" s="6" t="s">
        <v>133</v>
      </c>
      <c r="D34" s="6"/>
    </row>
    <row r="35" spans="1:4" x14ac:dyDescent="0.25">
      <c r="A35" s="6" t="s">
        <v>140</v>
      </c>
      <c r="B35" s="16">
        <f>B30/SIN(B33)</f>
        <v>149586874622.81381</v>
      </c>
      <c r="C35" s="6" t="s">
        <v>13</v>
      </c>
      <c r="D35" s="6" t="s">
        <v>147</v>
      </c>
    </row>
    <row r="36" spans="1:4" x14ac:dyDescent="0.25">
      <c r="A36" s="6" t="s">
        <v>129</v>
      </c>
      <c r="B36" s="16">
        <f>B23 - B20/2</f>
        <v>149596810930</v>
      </c>
      <c r="C36" s="6" t="s">
        <v>13</v>
      </c>
      <c r="D36" s="6" t="s">
        <v>131</v>
      </c>
    </row>
    <row r="37" spans="1:4" x14ac:dyDescent="0.25">
      <c r="A37" s="6" t="s">
        <v>143</v>
      </c>
      <c r="B37" s="16">
        <f>B36-B35</f>
        <v>9936307.1861877441</v>
      </c>
      <c r="C37" s="6" t="s">
        <v>13</v>
      </c>
      <c r="D37" s="6" t="s">
        <v>144</v>
      </c>
    </row>
    <row r="39" spans="1:4" x14ac:dyDescent="0.25">
      <c r="A39" s="3" t="s">
        <v>150</v>
      </c>
      <c r="B39" s="16"/>
    </row>
    <row r="40" spans="1:4" x14ac:dyDescent="0.25">
      <c r="A40" t="s">
        <v>145</v>
      </c>
      <c r="B40" s="16">
        <f>B30 - B29</f>
        <v>349131300</v>
      </c>
      <c r="C40" t="s">
        <v>13</v>
      </c>
    </row>
    <row r="41" spans="1:4" x14ac:dyDescent="0.25">
      <c r="A41" t="s">
        <v>140</v>
      </c>
      <c r="B41" s="16">
        <f>B28/B40*B30</f>
        <v>149586874622.81384</v>
      </c>
      <c r="C41" t="s">
        <v>13</v>
      </c>
      <c r="D41" s="6" t="s">
        <v>158</v>
      </c>
    </row>
    <row r="42" spans="1:4" x14ac:dyDescent="0.25">
      <c r="A42" t="s">
        <v>129</v>
      </c>
      <c r="B42" s="16">
        <f>B23 - B20/2</f>
        <v>149596810930</v>
      </c>
      <c r="C42" t="s">
        <v>13</v>
      </c>
      <c r="D42" s="6" t="s">
        <v>131</v>
      </c>
    </row>
    <row r="43" spans="1:4" x14ac:dyDescent="0.25">
      <c r="A43" s="6" t="s">
        <v>143</v>
      </c>
      <c r="B43" s="16">
        <f>B42-B41</f>
        <v>9936307.1861572266</v>
      </c>
      <c r="C43" s="6" t="s">
        <v>13</v>
      </c>
      <c r="D43" s="6" t="s">
        <v>144</v>
      </c>
    </row>
    <row r="44" spans="1:4" x14ac:dyDescent="0.25">
      <c r="A44" s="6"/>
      <c r="B44" s="16"/>
      <c r="C44" s="6"/>
      <c r="D44" s="6"/>
    </row>
    <row r="46" spans="1:4" ht="13.8" x14ac:dyDescent="0.25">
      <c r="A46" s="29" t="s">
        <v>157</v>
      </c>
      <c r="B46" s="26"/>
      <c r="C46" s="26"/>
      <c r="D46" s="26"/>
    </row>
    <row r="47" spans="1:4" x14ac:dyDescent="0.25">
      <c r="A47" s="6" t="s">
        <v>130</v>
      </c>
      <c r="B47">
        <f>B19/2</f>
        <v>350000000</v>
      </c>
      <c r="C47" s="6" t="s">
        <v>13</v>
      </c>
      <c r="D47" s="6" t="s">
        <v>132</v>
      </c>
    </row>
    <row r="48" spans="1:4" x14ac:dyDescent="0.25">
      <c r="A48" s="6" t="s">
        <v>129</v>
      </c>
      <c r="B48">
        <f>B23 - B20/2</f>
        <v>149596810930</v>
      </c>
      <c r="C48" s="6" t="s">
        <v>13</v>
      </c>
      <c r="D48" s="6" t="s">
        <v>131</v>
      </c>
    </row>
    <row r="49" spans="1:4" x14ac:dyDescent="0.25">
      <c r="A49" s="6" t="s">
        <v>152</v>
      </c>
      <c r="B49" s="16">
        <f>B24 - B20/2</f>
        <v>381210930</v>
      </c>
      <c r="C49" s="6" t="s">
        <v>13</v>
      </c>
      <c r="D49" s="6" t="s">
        <v>153</v>
      </c>
    </row>
    <row r="50" spans="1:4" ht="15.6" x14ac:dyDescent="0.35">
      <c r="A50" s="6" t="s">
        <v>155</v>
      </c>
      <c r="B50" s="16">
        <f>B47/B48*B49</f>
        <v>891889.50399773067</v>
      </c>
      <c r="C50" s="6" t="s">
        <v>13</v>
      </c>
      <c r="D50" s="6" t="s">
        <v>154</v>
      </c>
    </row>
    <row r="51" spans="1:4" x14ac:dyDescent="0.25">
      <c r="A51" s="6" t="s">
        <v>156</v>
      </c>
      <c r="B51" s="16">
        <f>B50 - B21/2</f>
        <v>23189.503997730673</v>
      </c>
      <c r="C51" s="6" t="s">
        <v>13</v>
      </c>
    </row>
    <row r="52" spans="1:4" x14ac:dyDescent="0.25">
      <c r="A52" t="str">
        <f>"Dus steek die son "&amp;ROUND(B51,0)&amp;" m aan weerskante van die maan verby."</f>
        <v>Dus steek die son 23190 m aan weerskante van die maan verby.</v>
      </c>
    </row>
    <row r="53" spans="1:4" x14ac:dyDescent="0.25">
      <c r="A53" t="s">
        <v>162</v>
      </c>
      <c r="B53" s="30">
        <f>B51/(B21/2)</f>
        <v>2.6694490615552749E-2</v>
      </c>
      <c r="D53" t="s">
        <v>163</v>
      </c>
    </row>
  </sheetData>
  <mergeCells count="1">
    <mergeCell ref="A2:D2"/>
  </mergeCells>
  <hyperlinks>
    <hyperlink ref="A3" r:id="rId1"/>
  </hyperlinks>
  <pageMargins left="0.70866141732283472" right="0.70866141732283472" top="0.74803149606299213" bottom="0.74803149606299213" header="0.31496062992125984" footer="0.31496062992125984"/>
  <pageSetup paperSize="9"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workbookViewId="0"/>
  </sheetViews>
  <sheetFormatPr defaultRowHeight="13.2" x14ac:dyDescent="0.25"/>
  <cols>
    <col min="1" max="1" width="54.88671875" customWidth="1"/>
    <col min="2" max="2" width="11.109375" customWidth="1"/>
    <col min="3" max="3" width="12.88671875" bestFit="1" customWidth="1"/>
  </cols>
  <sheetData>
    <row r="1" spans="1:3" ht="21" x14ac:dyDescent="0.4">
      <c r="A1" s="31" t="s">
        <v>174</v>
      </c>
    </row>
    <row r="2" spans="1:3" x14ac:dyDescent="0.25">
      <c r="A2" s="7" t="s">
        <v>226</v>
      </c>
    </row>
    <row r="5" spans="1:3" ht="15.6" x14ac:dyDescent="0.3">
      <c r="A5" s="51" t="s">
        <v>96</v>
      </c>
      <c r="B5" s="26"/>
      <c r="C5" s="26"/>
    </row>
    <row r="6" spans="1:3" x14ac:dyDescent="0.25">
      <c r="A6" s="6" t="s">
        <v>161</v>
      </c>
    </row>
    <row r="7" spans="1:3" x14ac:dyDescent="0.25">
      <c r="A7" s="7" t="s">
        <v>33</v>
      </c>
    </row>
    <row r="8" spans="1:3" x14ac:dyDescent="0.25">
      <c r="A8" s="7" t="s">
        <v>95</v>
      </c>
    </row>
    <row r="9" spans="1:3" x14ac:dyDescent="0.25">
      <c r="A9" s="7"/>
    </row>
    <row r="11" spans="1:3" x14ac:dyDescent="0.25">
      <c r="A11" t="s">
        <v>39</v>
      </c>
      <c r="B11" s="16">
        <f>Algemeen!B25/2</f>
        <v>46000000000</v>
      </c>
      <c r="C11" t="s">
        <v>22</v>
      </c>
    </row>
    <row r="12" spans="1:3" x14ac:dyDescent="0.25">
      <c r="A12" t="s">
        <v>34</v>
      </c>
      <c r="B12" s="16">
        <f>4/3*PI()*B11^3</f>
        <v>4.0772008337308811E+32</v>
      </c>
      <c r="C12" t="s">
        <v>93</v>
      </c>
    </row>
    <row r="13" spans="1:3" x14ac:dyDescent="0.25">
      <c r="B13" s="16"/>
    </row>
    <row r="14" spans="1:3" x14ac:dyDescent="0.25">
      <c r="A14" t="s">
        <v>40</v>
      </c>
      <c r="B14" s="16">
        <v>1000000</v>
      </c>
      <c r="C14" t="s">
        <v>22</v>
      </c>
    </row>
    <row r="15" spans="1:3" x14ac:dyDescent="0.25">
      <c r="A15" t="s">
        <v>35</v>
      </c>
      <c r="B15" s="16">
        <f>4/3*PI()*B14^3</f>
        <v>4.1887902047863905E+18</v>
      </c>
      <c r="C15" t="s">
        <v>93</v>
      </c>
    </row>
    <row r="16" spans="1:3" x14ac:dyDescent="0.25">
      <c r="B16" s="17"/>
    </row>
    <row r="17" spans="1:3" x14ac:dyDescent="0.25">
      <c r="A17" s="3" t="s">
        <v>41</v>
      </c>
      <c r="B17" s="50">
        <f>B15/B12</f>
        <v>1.0273691131749815E-14</v>
      </c>
      <c r="C17" s="16">
        <f>(B14/B11)^3</f>
        <v>1.0273691131749816E-14</v>
      </c>
    </row>
    <row r="19" spans="1:3" x14ac:dyDescent="0.25">
      <c r="A19" s="20" t="s">
        <v>240</v>
      </c>
      <c r="B19" s="49">
        <f>B52/B17</f>
        <v>6960617.9028671393</v>
      </c>
    </row>
    <row r="20" spans="1:3" x14ac:dyDescent="0.25">
      <c r="B20" s="1"/>
    </row>
    <row r="22" spans="1:3" ht="15.6" x14ac:dyDescent="0.3">
      <c r="A22" s="51" t="s">
        <v>159</v>
      </c>
      <c r="B22" s="26"/>
      <c r="C22" s="26"/>
    </row>
    <row r="25" spans="1:3" x14ac:dyDescent="0.25">
      <c r="A25" t="s">
        <v>82</v>
      </c>
    </row>
    <row r="33" spans="1:3" x14ac:dyDescent="0.25">
      <c r="A33" t="s">
        <v>83</v>
      </c>
    </row>
    <row r="41" spans="1:3" x14ac:dyDescent="0.25">
      <c r="A41" s="3" t="s">
        <v>84</v>
      </c>
    </row>
    <row r="43" spans="1:3" x14ac:dyDescent="0.25">
      <c r="A43" t="s">
        <v>85</v>
      </c>
      <c r="B43">
        <v>49</v>
      </c>
    </row>
    <row r="44" spans="1:3" x14ac:dyDescent="0.25">
      <c r="A44" t="s">
        <v>86</v>
      </c>
      <c r="B44">
        <v>6</v>
      </c>
    </row>
    <row r="46" spans="1:3" x14ac:dyDescent="0.25">
      <c r="A46" t="s">
        <v>87</v>
      </c>
    </row>
    <row r="47" spans="1:3" x14ac:dyDescent="0.25">
      <c r="A47" t="s">
        <v>88</v>
      </c>
      <c r="B47">
        <f>B43</f>
        <v>49</v>
      </c>
      <c r="C47" s="23">
        <f>FACT(B47)</f>
        <v>6.0828186403426789E+62</v>
      </c>
    </row>
    <row r="48" spans="1:3" x14ac:dyDescent="0.25">
      <c r="A48" t="s">
        <v>89</v>
      </c>
      <c r="B48">
        <f>B44</f>
        <v>6</v>
      </c>
      <c r="C48" s="23">
        <f>FACT(B48)</f>
        <v>720</v>
      </c>
    </row>
    <row r="49" spans="1:3" x14ac:dyDescent="0.25">
      <c r="A49" t="s">
        <v>90</v>
      </c>
      <c r="B49">
        <f>B47-B48</f>
        <v>43</v>
      </c>
      <c r="C49" s="23">
        <f>FACT(B49)</f>
        <v>6.0415263063373845E+52</v>
      </c>
    </row>
    <row r="50" spans="1:3" x14ac:dyDescent="0.25">
      <c r="A50" t="s">
        <v>91</v>
      </c>
      <c r="B50" s="1">
        <f>COMBIN(B43,B44)</f>
        <v>13983816</v>
      </c>
      <c r="C50" s="49">
        <f>C47/C48/C49</f>
        <v>13983816.000000007</v>
      </c>
    </row>
    <row r="52" spans="1:3" x14ac:dyDescent="0.25">
      <c r="A52" s="3" t="s">
        <v>92</v>
      </c>
      <c r="B52" s="50">
        <f>1/C50</f>
        <v>7.151123842018512E-8</v>
      </c>
    </row>
    <row r="53" spans="1:3" x14ac:dyDescent="0.25">
      <c r="A53" s="20"/>
      <c r="B53" s="16"/>
    </row>
    <row r="56" spans="1:3" ht="15.6" x14ac:dyDescent="0.3">
      <c r="A56" s="51" t="s">
        <v>227</v>
      </c>
      <c r="B56" s="26"/>
      <c r="C56" s="26"/>
    </row>
    <row r="58" spans="1:3" x14ac:dyDescent="0.25">
      <c r="A58" s="20" t="s">
        <v>228</v>
      </c>
      <c r="B58" s="16">
        <f>B52</f>
        <v>7.151123842018512E-8</v>
      </c>
    </row>
    <row r="59" spans="1:3" x14ac:dyDescent="0.25">
      <c r="A59" s="20" t="s">
        <v>229</v>
      </c>
      <c r="B59" s="16">
        <f>B58</f>
        <v>7.151123842018512E-8</v>
      </c>
    </row>
    <row r="60" spans="1:3" x14ac:dyDescent="0.25">
      <c r="A60" s="20" t="s">
        <v>230</v>
      </c>
      <c r="B60" s="50">
        <f>B58*B59</f>
        <v>5.1138572203885601E-15</v>
      </c>
    </row>
    <row r="63" spans="1:3" ht="15.6" x14ac:dyDescent="0.3">
      <c r="A63" s="51" t="s">
        <v>231</v>
      </c>
      <c r="B63" s="26"/>
      <c r="C63" s="26"/>
    </row>
    <row r="65" spans="1:3" x14ac:dyDescent="0.25">
      <c r="A65" s="20" t="s">
        <v>232</v>
      </c>
    </row>
    <row r="66" spans="1:3" x14ac:dyDescent="0.25">
      <c r="A66" s="20" t="s">
        <v>233</v>
      </c>
    </row>
    <row r="67" spans="1:3" x14ac:dyDescent="0.25">
      <c r="A67" s="20" t="s">
        <v>234</v>
      </c>
    </row>
    <row r="68" spans="1:3" x14ac:dyDescent="0.25">
      <c r="A68" s="20" t="s">
        <v>235</v>
      </c>
    </row>
    <row r="70" spans="1:3" x14ac:dyDescent="0.25">
      <c r="A70" s="20" t="s">
        <v>236</v>
      </c>
      <c r="B70">
        <f>COMBIN(3,2)</f>
        <v>3</v>
      </c>
    </row>
    <row r="72" spans="1:3" x14ac:dyDescent="0.25">
      <c r="A72" s="20" t="s">
        <v>237</v>
      </c>
      <c r="B72" s="16">
        <f>B52*B52*(1-B52)</f>
        <v>5.1138568546902976E-15</v>
      </c>
    </row>
    <row r="73" spans="1:3" x14ac:dyDescent="0.25">
      <c r="A73" s="20" t="s">
        <v>238</v>
      </c>
      <c r="B73" s="50">
        <f>B70*B72</f>
        <v>1.5341570564070893E-14</v>
      </c>
    </row>
    <row r="74" spans="1:3" x14ac:dyDescent="0.25">
      <c r="A74" s="20"/>
      <c r="B74" s="16"/>
    </row>
    <row r="75" spans="1:3" x14ac:dyDescent="0.25">
      <c r="B75" s="15"/>
    </row>
    <row r="77" spans="1:3" ht="15.6" x14ac:dyDescent="0.3">
      <c r="A77" s="51" t="s">
        <v>175</v>
      </c>
      <c r="B77" s="26"/>
      <c r="C77" s="26"/>
    </row>
    <row r="78" spans="1:3" s="15" customFormat="1" x14ac:dyDescent="0.25"/>
    <row r="79" spans="1:3" x14ac:dyDescent="0.25">
      <c r="A79" s="6" t="s">
        <v>38</v>
      </c>
      <c r="B79">
        <v>500</v>
      </c>
      <c r="C79" t="s">
        <v>42</v>
      </c>
    </row>
    <row r="80" spans="1:3" x14ac:dyDescent="0.25">
      <c r="A80" s="6" t="s">
        <v>45</v>
      </c>
      <c r="B80">
        <v>10</v>
      </c>
      <c r="C80" t="s">
        <v>42</v>
      </c>
    </row>
    <row r="81" spans="1:3" x14ac:dyDescent="0.25">
      <c r="A81" t="s">
        <v>36</v>
      </c>
      <c r="B81" s="18">
        <f>PI()*B79^2</f>
        <v>785398.16339744825</v>
      </c>
      <c r="C81" t="s">
        <v>43</v>
      </c>
    </row>
    <row r="82" spans="1:3" x14ac:dyDescent="0.25">
      <c r="A82" t="s">
        <v>46</v>
      </c>
      <c r="B82" s="18">
        <f>PI()*B80^2</f>
        <v>314.15926535897933</v>
      </c>
      <c r="C82" t="s">
        <v>43</v>
      </c>
    </row>
    <row r="83" spans="1:3" x14ac:dyDescent="0.25">
      <c r="A83" t="s">
        <v>37</v>
      </c>
      <c r="B83" s="16">
        <f>4/3*PI()*B79^3</f>
        <v>523598775.59829879</v>
      </c>
      <c r="C83" t="s">
        <v>44</v>
      </c>
    </row>
    <row r="84" spans="1:3" x14ac:dyDescent="0.25">
      <c r="A84" t="s">
        <v>47</v>
      </c>
      <c r="B84" s="18">
        <f>4/3*PI()*B80^3</f>
        <v>4188.7902047863909</v>
      </c>
      <c r="C84" t="s">
        <v>44</v>
      </c>
    </row>
    <row r="86" spans="1:3" x14ac:dyDescent="0.25">
      <c r="A86" t="s">
        <v>48</v>
      </c>
      <c r="B86" s="50">
        <f>B82/B81</f>
        <v>4.0000000000000002E-4</v>
      </c>
    </row>
    <row r="87" spans="1:3" x14ac:dyDescent="0.25">
      <c r="A87" t="s">
        <v>49</v>
      </c>
      <c r="B87" s="16">
        <f>B84/B83</f>
        <v>8.0000000000000013E-6</v>
      </c>
    </row>
  </sheetData>
  <phoneticPr fontId="3" type="noConversion"/>
  <hyperlinks>
    <hyperlink ref="A7" r:id="rId1"/>
    <hyperlink ref="A8" r:id="rId2"/>
    <hyperlink ref="A2" r:id="rId3"/>
  </hyperlinks>
  <pageMargins left="0.75" right="0.75" top="1" bottom="1" header="0.5" footer="0.5"/>
  <pageSetup paperSize="9" orientation="portrait" r:id="rId4"/>
  <headerFooter alignWithMargins="0"/>
  <drawing r:id="rId5"/>
  <legacyDrawing r:id="rId6"/>
  <oleObjects>
    <mc:AlternateContent xmlns:mc="http://schemas.openxmlformats.org/markup-compatibility/2006">
      <mc:Choice Requires="x14">
        <oleObject progId="Equation.3" shapeId="3073" r:id="rId7">
          <objectPr defaultSize="0" autoPict="0" r:id="rId8">
            <anchor moveWithCells="1">
              <from>
                <xdr:col>0</xdr:col>
                <xdr:colOff>1074420</xdr:colOff>
                <xdr:row>26</xdr:row>
                <xdr:rowOff>7620</xdr:rowOff>
              </from>
              <to>
                <xdr:col>0</xdr:col>
                <xdr:colOff>2263140</xdr:colOff>
                <xdr:row>29</xdr:row>
                <xdr:rowOff>45720</xdr:rowOff>
              </to>
            </anchor>
          </objectPr>
        </oleObject>
      </mc:Choice>
      <mc:Fallback>
        <oleObject progId="Equation.3" shapeId="3073" r:id="rId7"/>
      </mc:Fallback>
    </mc:AlternateContent>
    <mc:AlternateContent xmlns:mc="http://schemas.openxmlformats.org/markup-compatibility/2006">
      <mc:Choice Requires="x14">
        <oleObject progId="Equation.3" shapeId="3074" r:id="rId9">
          <objectPr defaultSize="0" autoPict="0" r:id="rId10">
            <anchor moveWithCells="1">
              <from>
                <xdr:col>0</xdr:col>
                <xdr:colOff>754380</xdr:colOff>
                <xdr:row>34</xdr:row>
                <xdr:rowOff>22860</xdr:rowOff>
              </from>
              <to>
                <xdr:col>1</xdr:col>
                <xdr:colOff>281940</xdr:colOff>
                <xdr:row>37</xdr:row>
                <xdr:rowOff>60960</xdr:rowOff>
              </to>
            </anchor>
          </objectPr>
        </oleObject>
      </mc:Choice>
      <mc:Fallback>
        <oleObject progId="Equation.3" shapeId="3074" r:id="rId9"/>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defaultRowHeight="13.2" x14ac:dyDescent="0.25"/>
  <cols>
    <col min="2" max="2" width="12.44140625" bestFit="1" customWidth="1"/>
    <col min="4" max="4" width="10.44140625" customWidth="1"/>
  </cols>
  <sheetData>
    <row r="1" spans="1:5" ht="17.399999999999999" x14ac:dyDescent="0.3">
      <c r="A1" s="13" t="s">
        <v>214</v>
      </c>
    </row>
    <row r="4" spans="1:5" ht="26.4" x14ac:dyDescent="0.25">
      <c r="D4" s="52" t="s">
        <v>239</v>
      </c>
    </row>
    <row r="5" spans="1:5" x14ac:dyDescent="0.25">
      <c r="A5" s="20" t="s">
        <v>125</v>
      </c>
      <c r="B5">
        <f>Hemelliggame!B21*1000</f>
        <v>12756280</v>
      </c>
      <c r="C5" s="20" t="s">
        <v>13</v>
      </c>
      <c r="D5" s="43">
        <v>1E-3</v>
      </c>
      <c r="E5" s="20" t="s">
        <v>13</v>
      </c>
    </row>
    <row r="6" spans="1:5" x14ac:dyDescent="0.25">
      <c r="A6" s="20" t="s">
        <v>124</v>
      </c>
      <c r="B6" s="21">
        <f>Hemelliggame!B6*1000</f>
        <v>1400000000</v>
      </c>
      <c r="C6" s="20" t="s">
        <v>13</v>
      </c>
      <c r="D6" s="21">
        <f>B6*$D$5/$B$5</f>
        <v>0.10974986438052473</v>
      </c>
      <c r="E6" s="20" t="s">
        <v>13</v>
      </c>
    </row>
    <row r="7" spans="1:5" x14ac:dyDescent="0.25">
      <c r="A7" s="20" t="s">
        <v>219</v>
      </c>
      <c r="B7" s="21">
        <f>Hemelliggame!B95</f>
        <v>1190000000000</v>
      </c>
      <c r="C7" s="20" t="s">
        <v>13</v>
      </c>
      <c r="D7" s="21">
        <f>B7*$D$5/$B$5</f>
        <v>93.287384723446024</v>
      </c>
      <c r="E7" s="20" t="s">
        <v>13</v>
      </c>
    </row>
    <row r="8" spans="1:5" x14ac:dyDescent="0.25">
      <c r="A8" s="20" t="s">
        <v>216</v>
      </c>
      <c r="B8" s="21">
        <f>AVERAGE(Algemeen!D18:D19)</f>
        <v>1.040680351983888E+21</v>
      </c>
      <c r="C8" s="20" t="s">
        <v>13</v>
      </c>
      <c r="D8" s="21">
        <f>B8*$D$5/$B$5</f>
        <v>81581805352.648895</v>
      </c>
      <c r="E8" s="20" t="s">
        <v>13</v>
      </c>
    </row>
    <row r="9" spans="1:5" x14ac:dyDescent="0.25">
      <c r="A9" s="20" t="s">
        <v>215</v>
      </c>
      <c r="B9" s="21">
        <f>Algemeen!D24</f>
        <v>2.83821914177424E+26</v>
      </c>
      <c r="C9" s="20" t="s">
        <v>13</v>
      </c>
      <c r="D9" s="21">
        <f>B9*$D$5/$B$5</f>
        <v>2.2249583277995152E+16</v>
      </c>
      <c r="E9" s="20"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Algemeen</vt:lpstr>
      <vt:lpstr>Hemelliggame</vt:lpstr>
      <vt:lpstr>Son-aarde ewewig</vt:lpstr>
      <vt:lpstr>Sonsverduistering</vt:lpstr>
      <vt:lpstr>Waarskynlikhede</vt:lpstr>
      <vt:lpstr>Groottes</vt:lpstr>
    </vt:vector>
  </TitlesOfParts>
  <Company>Sasol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Louw</dc:creator>
  <cp:lastModifiedBy>Louw, Daniel (D)</cp:lastModifiedBy>
  <cp:lastPrinted>2014-08-11T18:30:06Z</cp:lastPrinted>
  <dcterms:created xsi:type="dcterms:W3CDTF">2008-05-15T09:08:13Z</dcterms:created>
  <dcterms:modified xsi:type="dcterms:W3CDTF">2014-08-11T19:09:46Z</dcterms:modified>
</cp:coreProperties>
</file>